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workbookProtection lockStructure="1"/>
  <bookViews>
    <workbookView xWindow="240" yWindow="30" windowWidth="20115" windowHeight="8010"/>
  </bookViews>
  <sheets>
    <sheet name="Notes" sheetId="33" r:id="rId1"/>
    <sheet name="Results Sheet" sheetId="32" r:id="rId2"/>
    <sheet name="Inputs - Constants" sheetId="1" r:id="rId3"/>
    <sheet name="Inputs - Variables" sheetId="5" r:id="rId4"/>
    <sheet name="Inputs - Internet" sheetId="38" r:id="rId5"/>
    <sheet name="Air Pressure" sheetId="37" state="hidden" r:id="rId6"/>
    <sheet name="Dew Point" sheetId="39" state="hidden" r:id="rId7"/>
    <sheet name="Air Density" sheetId="34" state="hidden" r:id="rId8"/>
    <sheet name="Dimensions and Readings" sheetId="2" state="hidden" r:id="rId9"/>
    <sheet name="Re (1st iteration)" sheetId="4" state="hidden" r:id="rId10"/>
    <sheet name="C (1st iteration)" sheetId="10" state="hidden" r:id="rId11"/>
    <sheet name="Mass Flow Rate (1st iteration)" sheetId="12" state="hidden" r:id="rId12"/>
    <sheet name="Re (2nd iteration)" sheetId="13" state="hidden" r:id="rId13"/>
    <sheet name="C (2nd iteration)" sheetId="24" state="hidden" r:id="rId14"/>
    <sheet name="Mass Flow Rate (2nd iteration)" sheetId="25" state="hidden" r:id="rId15"/>
    <sheet name="Re (3rd iteration)" sheetId="26" state="hidden" r:id="rId16"/>
    <sheet name="C (3rd iteration)" sheetId="27" state="hidden" r:id="rId17"/>
    <sheet name="Mass Flow Rate (3rd iteration)" sheetId="28" state="hidden" r:id="rId18"/>
    <sheet name="Re (4th iteration)" sheetId="29" state="hidden" r:id="rId19"/>
    <sheet name="C (4th iteration)" sheetId="30" state="hidden" r:id="rId20"/>
    <sheet name="Mass Flow Rate (4th iteration)" sheetId="31" state="hidden" r:id="rId21"/>
    <sheet name="Final Calculations Sheet" sheetId="23" state="hidden" r:id="rId22"/>
  </sheets>
  <calcPr calcId="125725"/>
</workbook>
</file>

<file path=xl/calcChain.xml><?xml version="1.0" encoding="utf-8"?>
<calcChain xmlns="http://schemas.openxmlformats.org/spreadsheetml/2006/main">
  <c r="D14" i="30"/>
  <c r="D15"/>
  <c r="D16"/>
  <c r="D17"/>
  <c r="D18"/>
  <c r="D19"/>
  <c r="D20"/>
  <c r="B14"/>
  <c r="B15"/>
  <c r="B16"/>
  <c r="B17"/>
  <c r="B18"/>
  <c r="B19"/>
  <c r="B20"/>
  <c r="D14" i="27"/>
  <c r="D15"/>
  <c r="D16"/>
  <c r="D17"/>
  <c r="D18"/>
  <c r="D19"/>
  <c r="D20"/>
  <c r="B14"/>
  <c r="B15"/>
  <c r="B16"/>
  <c r="B17"/>
  <c r="B18"/>
  <c r="B19"/>
  <c r="B20"/>
  <c r="D14" i="24"/>
  <c r="D15"/>
  <c r="D16"/>
  <c r="D17"/>
  <c r="D18"/>
  <c r="D19"/>
  <c r="D20"/>
  <c r="B14"/>
  <c r="B15"/>
  <c r="B16"/>
  <c r="B17"/>
  <c r="B18"/>
  <c r="B19"/>
  <c r="B20"/>
  <c r="D14" i="10"/>
  <c r="D15"/>
  <c r="D16"/>
  <c r="D17"/>
  <c r="D18"/>
  <c r="D19"/>
  <c r="D20"/>
  <c r="B14"/>
  <c r="B15"/>
  <c r="B16"/>
  <c r="B17"/>
  <c r="B18"/>
  <c r="B19"/>
  <c r="B20"/>
  <c r="C10"/>
  <c r="I16" i="2"/>
  <c r="I15"/>
  <c r="I14"/>
  <c r="I12"/>
  <c r="I11"/>
  <c r="I10"/>
  <c r="I9"/>
  <c r="I8"/>
  <c r="I7"/>
  <c r="B22" i="34"/>
  <c r="B18"/>
  <c r="B4"/>
  <c r="B6" i="39"/>
  <c r="B5"/>
  <c r="B21" i="37"/>
  <c r="B19"/>
  <c r="B17"/>
  <c r="B16"/>
  <c r="B15"/>
  <c r="B13"/>
  <c r="B12"/>
  <c r="B11"/>
  <c r="B10"/>
  <c r="B9"/>
  <c r="C6" i="34"/>
  <c r="D6"/>
  <c r="E6"/>
  <c r="F6"/>
  <c r="G6"/>
  <c r="B6"/>
  <c r="E5" i="39"/>
  <c r="F5"/>
  <c r="G5"/>
  <c r="G6" s="1"/>
  <c r="E6"/>
  <c r="F6"/>
  <c r="G4"/>
  <c r="F4"/>
  <c r="E4"/>
  <c r="G3"/>
  <c r="F3"/>
  <c r="E3"/>
  <c r="C5"/>
  <c r="C6" s="1"/>
  <c r="D5"/>
  <c r="D6" s="1"/>
  <c r="D4"/>
  <c r="C4"/>
  <c r="D3"/>
  <c r="C3"/>
  <c r="B3"/>
  <c r="B4"/>
  <c r="D26" i="2"/>
  <c r="B39" i="5"/>
  <c r="B38"/>
  <c r="B37"/>
  <c r="B31"/>
  <c r="B30"/>
  <c r="B29"/>
  <c r="C26" i="2"/>
  <c r="B26"/>
  <c r="D25"/>
  <c r="D4" i="13" s="1"/>
  <c r="C25" i="2"/>
  <c r="C4" i="13" s="1"/>
  <c r="B25" i="2"/>
  <c r="B4" i="26" s="1"/>
  <c r="D11" i="2"/>
  <c r="C11"/>
  <c r="B11"/>
  <c r="E39" i="5"/>
  <c r="E38"/>
  <c r="E37"/>
  <c r="E30"/>
  <c r="E29"/>
  <c r="D39"/>
  <c r="D38"/>
  <c r="D37"/>
  <c r="F5" i="34"/>
  <c r="E5"/>
  <c r="D30" i="5"/>
  <c r="D29"/>
  <c r="E21"/>
  <c r="G3" i="34"/>
  <c r="F3"/>
  <c r="E3"/>
  <c r="D3"/>
  <c r="C3"/>
  <c r="B3"/>
  <c r="C5" i="37"/>
  <c r="D5"/>
  <c r="D10" s="1"/>
  <c r="B5"/>
  <c r="C3"/>
  <c r="C8" s="1"/>
  <c r="C12" s="1"/>
  <c r="D3"/>
  <c r="B3"/>
  <c r="C24" i="2"/>
  <c r="D24"/>
  <c r="B24"/>
  <c r="C10" i="37"/>
  <c r="D8"/>
  <c r="D12" s="1"/>
  <c r="B8"/>
  <c r="B68" i="5"/>
  <c r="B67"/>
  <c r="B66"/>
  <c r="C16" i="10"/>
  <c r="D9"/>
  <c r="B9"/>
  <c r="C9"/>
  <c r="B23" i="5"/>
  <c r="B22"/>
  <c r="B21"/>
  <c r="B6" i="2"/>
  <c r="C3"/>
  <c r="G2" i="1"/>
  <c r="D3" i="2" s="1"/>
  <c r="E2" i="1"/>
  <c r="B3" i="2" s="1"/>
  <c r="B7" i="5"/>
  <c r="D13" i="2" s="1"/>
  <c r="D3" i="23" s="1"/>
  <c r="D4" s="1"/>
  <c r="B6" i="5"/>
  <c r="B13" i="2" s="1"/>
  <c r="B3" i="23" s="1"/>
  <c r="B4" s="1"/>
  <c r="B5" i="5"/>
  <c r="C13" i="2" s="1"/>
  <c r="C3" i="23" s="1"/>
  <c r="C4" s="1"/>
  <c r="B60" i="5"/>
  <c r="B59"/>
  <c r="B17" i="2" s="1"/>
  <c r="B58" i="5"/>
  <c r="C17" i="2" s="1"/>
  <c r="B52" i="5"/>
  <c r="B51"/>
  <c r="B27" i="34" s="1"/>
  <c r="B50" i="5"/>
  <c r="C12" i="2" s="1"/>
  <c r="B15" i="5"/>
  <c r="B14"/>
  <c r="B13"/>
  <c r="C20" i="2" s="1"/>
  <c r="B58" i="1"/>
  <c r="D9" i="2" s="1"/>
  <c r="B57" i="1"/>
  <c r="B9" i="2" s="1"/>
  <c r="B56" i="1"/>
  <c r="C9" i="2" s="1"/>
  <c r="B50" i="1"/>
  <c r="C8" i="2" s="1"/>
  <c r="B52" i="1"/>
  <c r="D8" i="2" s="1"/>
  <c r="B51" i="1"/>
  <c r="B8" i="2" s="1"/>
  <c r="B9" i="1"/>
  <c r="C46" s="1"/>
  <c r="B46"/>
  <c r="D7" i="2" s="1"/>
  <c r="B45" i="1"/>
  <c r="B7" i="2" s="1"/>
  <c r="B44" i="1"/>
  <c r="C7" i="2" s="1"/>
  <c r="B33" i="1"/>
  <c r="D6" i="2" s="1"/>
  <c r="B32" i="1"/>
  <c r="B31"/>
  <c r="C45" s="1"/>
  <c r="B20"/>
  <c r="D5" i="2" s="1"/>
  <c r="B19" i="1"/>
  <c r="B5" i="2" s="1"/>
  <c r="B18" i="1"/>
  <c r="C5" i="2" s="1"/>
  <c r="B11" i="1"/>
  <c r="D4" i="2" s="1"/>
  <c r="B10" i="1"/>
  <c r="B4" i="2" s="1"/>
  <c r="G4" i="34" l="1"/>
  <c r="G27" s="1"/>
  <c r="D4"/>
  <c r="D27" s="1"/>
  <c r="C3" i="38"/>
  <c r="D7"/>
  <c r="B3"/>
  <c r="C7"/>
  <c r="B7"/>
  <c r="D3"/>
  <c r="F4" i="34"/>
  <c r="F27" s="1"/>
  <c r="E4"/>
  <c r="E27" s="1"/>
  <c r="C4" i="37"/>
  <c r="C9" s="1"/>
  <c r="D4"/>
  <c r="D9" s="1"/>
  <c r="B4"/>
  <c r="D6"/>
  <c r="D11" s="1"/>
  <c r="C6"/>
  <c r="C11" s="1"/>
  <c r="B6"/>
  <c r="B19" i="34"/>
  <c r="C51" i="1"/>
  <c r="C58"/>
  <c r="C57"/>
  <c r="G18" i="34"/>
  <c r="G19" s="1"/>
  <c r="D18"/>
  <c r="D12" i="2"/>
  <c r="D20"/>
  <c r="D4" i="12" s="1"/>
  <c r="D5" s="1"/>
  <c r="B4" i="29"/>
  <c r="C4" i="26"/>
  <c r="D4"/>
  <c r="C4" i="29"/>
  <c r="B4" i="13"/>
  <c r="D4" i="29"/>
  <c r="C52" i="1"/>
  <c r="C6" i="2"/>
  <c r="C4" i="12"/>
  <c r="C5" s="1"/>
  <c r="C4" i="25"/>
  <c r="C5" s="1"/>
  <c r="C4" i="31"/>
  <c r="C5" s="1"/>
  <c r="C4" i="28"/>
  <c r="C5" s="1"/>
  <c r="D17" i="2"/>
  <c r="J7" s="1"/>
  <c r="B12"/>
  <c r="H8"/>
  <c r="H7"/>
  <c r="B20"/>
  <c r="H10"/>
  <c r="H4"/>
  <c r="H3"/>
  <c r="H5"/>
  <c r="H9"/>
  <c r="J4"/>
  <c r="J5"/>
  <c r="J3"/>
  <c r="C33" i="1"/>
  <c r="C32"/>
  <c r="C4" i="2"/>
  <c r="C11" i="1"/>
  <c r="C10"/>
  <c r="D32"/>
  <c r="C20"/>
  <c r="C19"/>
  <c r="D15" i="37" l="1"/>
  <c r="C15"/>
  <c r="C13"/>
  <c r="C17" s="1"/>
  <c r="C14"/>
  <c r="C16" s="1"/>
  <c r="D14"/>
  <c r="D16" s="1"/>
  <c r="D13"/>
  <c r="D17" s="1"/>
  <c r="B14"/>
  <c r="E18" i="34"/>
  <c r="E19" s="1"/>
  <c r="F18"/>
  <c r="F19" s="1"/>
  <c r="D19"/>
  <c r="C18"/>
  <c r="C4"/>
  <c r="C27" s="1"/>
  <c r="J9" i="2"/>
  <c r="D5" i="30" s="1"/>
  <c r="J8" i="2"/>
  <c r="J11" s="1"/>
  <c r="J10"/>
  <c r="D6" i="27" s="1"/>
  <c r="D4" i="28"/>
  <c r="D5" s="1"/>
  <c r="D4" i="31"/>
  <c r="D5" s="1"/>
  <c r="D4" i="25"/>
  <c r="D5" s="1"/>
  <c r="B2" i="27"/>
  <c r="B2" i="30"/>
  <c r="B2" i="24"/>
  <c r="C5" i="27"/>
  <c r="C5" i="30"/>
  <c r="C5" i="24"/>
  <c r="B6" i="30"/>
  <c r="B6" i="24"/>
  <c r="B6" i="27"/>
  <c r="B5" i="30"/>
  <c r="B5" i="24"/>
  <c r="B5" i="27"/>
  <c r="C6" i="30"/>
  <c r="C6" i="24"/>
  <c r="C6" i="27"/>
  <c r="D3" i="24"/>
  <c r="D3" i="27"/>
  <c r="D3" i="30"/>
  <c r="C2" i="24"/>
  <c r="C2" i="27"/>
  <c r="C2" i="30"/>
  <c r="B3"/>
  <c r="B3" i="24"/>
  <c r="B3" i="27"/>
  <c r="H11" i="2"/>
  <c r="B3" i="29"/>
  <c r="B3" i="26"/>
  <c r="B3" i="10"/>
  <c r="B3" i="13"/>
  <c r="H13" i="2"/>
  <c r="B6" i="10"/>
  <c r="B4" i="31"/>
  <c r="B5" s="1"/>
  <c r="B4" i="25"/>
  <c r="B5" s="1"/>
  <c r="B4" i="12"/>
  <c r="B5" s="1"/>
  <c r="B4" i="28"/>
  <c r="B5" s="1"/>
  <c r="H12" i="2"/>
  <c r="B5" i="10"/>
  <c r="D3"/>
  <c r="D3" i="29"/>
  <c r="D3" i="13"/>
  <c r="D3" i="26"/>
  <c r="C2" i="12"/>
  <c r="C2" i="25"/>
  <c r="C2" i="28"/>
  <c r="C2" i="31"/>
  <c r="B2" i="28"/>
  <c r="B2" i="12"/>
  <c r="B2" i="31"/>
  <c r="B2" i="25"/>
  <c r="B2" i="10"/>
  <c r="I5" i="2"/>
  <c r="I4"/>
  <c r="I3"/>
  <c r="C6" i="10"/>
  <c r="C5"/>
  <c r="C2"/>
  <c r="D19" i="37" l="1"/>
  <c r="D21" s="1"/>
  <c r="C19"/>
  <c r="C21" s="1"/>
  <c r="C19" i="34"/>
  <c r="D6" i="30"/>
  <c r="D8" s="1"/>
  <c r="D6" i="24"/>
  <c r="D8" s="1"/>
  <c r="J13" i="2"/>
  <c r="J16" s="1"/>
  <c r="D2" i="12"/>
  <c r="D2" i="10"/>
  <c r="D4" s="1"/>
  <c r="D5" i="24"/>
  <c r="D7" s="1"/>
  <c r="D5" i="27"/>
  <c r="D7" s="1"/>
  <c r="J12" i="2"/>
  <c r="D5" i="10"/>
  <c r="D7" s="1"/>
  <c r="D6"/>
  <c r="D8" s="1"/>
  <c r="D2" i="30"/>
  <c r="D4" s="1"/>
  <c r="D2" i="28"/>
  <c r="D2" i="24"/>
  <c r="D4" s="1"/>
  <c r="D2" i="27"/>
  <c r="D4" s="1"/>
  <c r="D2" i="31"/>
  <c r="D2" i="25"/>
  <c r="B7" i="30"/>
  <c r="B7" i="24"/>
  <c r="C3" i="27"/>
  <c r="C8" s="1"/>
  <c r="C3" i="30"/>
  <c r="C8" s="1"/>
  <c r="C3" i="24"/>
  <c r="C8" s="1"/>
  <c r="B8" i="30"/>
  <c r="B4" i="27"/>
  <c r="J15" i="2"/>
  <c r="F9" i="32"/>
  <c r="H16" i="2"/>
  <c r="B7" i="27"/>
  <c r="B8" i="24"/>
  <c r="D8" i="27"/>
  <c r="B4" i="30"/>
  <c r="H15" i="2"/>
  <c r="E9" i="32"/>
  <c r="B8" i="27"/>
  <c r="B4" i="24"/>
  <c r="D7" i="30"/>
  <c r="B7" i="10"/>
  <c r="B4"/>
  <c r="B8"/>
  <c r="C3" i="29"/>
  <c r="C3" i="26"/>
  <c r="C3" i="13"/>
  <c r="C3" i="10"/>
  <c r="C8" s="1"/>
  <c r="I13" i="2"/>
  <c r="D23" i="5" l="1"/>
  <c r="E23" s="1"/>
  <c r="D5" i="34"/>
  <c r="D22" s="1"/>
  <c r="D23" s="1"/>
  <c r="D29" s="1"/>
  <c r="D21" i="5"/>
  <c r="C5" i="34"/>
  <c r="C22" s="1"/>
  <c r="C23" s="1"/>
  <c r="C29" s="1"/>
  <c r="C7" i="30"/>
  <c r="C7" i="27"/>
  <c r="C4" i="30"/>
  <c r="C20" s="1"/>
  <c r="C11" i="27"/>
  <c r="C9" i="32"/>
  <c r="C7" i="24"/>
  <c r="C4"/>
  <c r="C15" s="1"/>
  <c r="D11" i="27"/>
  <c r="D11" i="30"/>
  <c r="D11" i="24"/>
  <c r="D11" i="10"/>
  <c r="B11" i="30"/>
  <c r="B11" i="24"/>
  <c r="B11" i="10"/>
  <c r="B11" i="27"/>
  <c r="D10" i="10"/>
  <c r="C4" i="27"/>
  <c r="B10" i="10"/>
  <c r="C14" i="24"/>
  <c r="C7" i="10"/>
  <c r="C4"/>
  <c r="C2" i="23" l="1"/>
  <c r="C14" i="2"/>
  <c r="D2" i="23"/>
  <c r="D14" i="2"/>
  <c r="B5" i="34"/>
  <c r="B23" s="1"/>
  <c r="B29" s="1"/>
  <c r="D22" i="5"/>
  <c r="E22" s="1"/>
  <c r="C15" i="30"/>
  <c r="C14"/>
  <c r="C11" i="10"/>
  <c r="C19" s="1"/>
  <c r="C20" i="24"/>
  <c r="C11"/>
  <c r="C19" s="1"/>
  <c r="C11" i="30"/>
  <c r="C19" s="1"/>
  <c r="C18" i="10"/>
  <c r="C19" i="27"/>
  <c r="C14"/>
  <c r="C15"/>
  <c r="C20"/>
  <c r="D23" i="10"/>
  <c r="C20"/>
  <c r="C17"/>
  <c r="C14"/>
  <c r="C15"/>
  <c r="B23"/>
  <c r="B2" i="23" l="1"/>
  <c r="B14" i="2"/>
  <c r="B16"/>
  <c r="C16"/>
  <c r="D22"/>
  <c r="C4" i="38"/>
  <c r="C22" i="2"/>
  <c r="C23" i="10"/>
  <c r="E31" i="5" l="1"/>
  <c r="D31"/>
  <c r="G5" i="34" s="1"/>
  <c r="G22" s="1"/>
  <c r="G23" s="1"/>
  <c r="G29" s="1"/>
  <c r="D18" i="2" s="1"/>
  <c r="B4" i="38"/>
  <c r="F22" i="34"/>
  <c r="F23" s="1"/>
  <c r="F29" s="1"/>
  <c r="B42" i="5"/>
  <c r="E22" i="34"/>
  <c r="E23" s="1"/>
  <c r="E29" s="1"/>
  <c r="B22" i="2"/>
  <c r="B43" i="5"/>
  <c r="I6" i="2"/>
  <c r="B44" i="5"/>
  <c r="D4" i="38"/>
  <c r="D16" i="2"/>
  <c r="J6" s="1"/>
  <c r="B3" i="12" l="1"/>
  <c r="B18" i="2"/>
  <c r="B3" i="31" s="1"/>
  <c r="C3" i="12"/>
  <c r="C18" i="2"/>
  <c r="C3" i="28"/>
  <c r="C3" i="25"/>
  <c r="C3" i="31"/>
  <c r="C7" i="12"/>
  <c r="C2" i="13" s="1"/>
  <c r="C6" s="1"/>
  <c r="C9" i="24" s="1"/>
  <c r="C16" s="1"/>
  <c r="D3" i="25"/>
  <c r="D3" i="28"/>
  <c r="D3" i="31"/>
  <c r="D3" i="12"/>
  <c r="H6" i="2"/>
  <c r="H14"/>
  <c r="J14"/>
  <c r="B3" i="28" l="1"/>
  <c r="B3" i="25"/>
  <c r="B7" i="12"/>
  <c r="B2" i="13" s="1"/>
  <c r="B6" s="1"/>
  <c r="B9" i="24" s="1"/>
  <c r="B23" s="1"/>
  <c r="B7" i="25" s="1"/>
  <c r="B2" i="26" s="1"/>
  <c r="B6" s="1"/>
  <c r="B9" i="27" s="1"/>
  <c r="C10" i="24"/>
  <c r="C18" s="1"/>
  <c r="D7" i="12"/>
  <c r="D2" i="13" s="1"/>
  <c r="D6" s="1"/>
  <c r="D9" i="24" s="1"/>
  <c r="D10" s="1"/>
  <c r="B10" l="1"/>
  <c r="C17"/>
  <c r="C23" s="1"/>
  <c r="C7" i="25" s="1"/>
  <c r="C2" i="26" s="1"/>
  <c r="C6" s="1"/>
  <c r="C9" i="27" s="1"/>
  <c r="C10" s="1"/>
  <c r="D23" i="24"/>
  <c r="D7" i="25" s="1"/>
  <c r="D2" i="26" s="1"/>
  <c r="D6" s="1"/>
  <c r="D9" i="27" s="1"/>
  <c r="D23" s="1"/>
  <c r="D7" i="28" s="1"/>
  <c r="D2" i="29" s="1"/>
  <c r="D6" s="1"/>
  <c r="D9" i="30" s="1"/>
  <c r="B23" i="27"/>
  <c r="B7" i="28" s="1"/>
  <c r="B2" i="29" s="1"/>
  <c r="B6" s="1"/>
  <c r="B9" i="30" s="1"/>
  <c r="B10" i="27"/>
  <c r="D10" l="1"/>
  <c r="D10" i="30"/>
  <c r="D23"/>
  <c r="B10"/>
  <c r="B23"/>
  <c r="C16" i="27"/>
  <c r="C17"/>
  <c r="C18"/>
  <c r="F8" i="32" l="1"/>
  <c r="D7" i="31"/>
  <c r="D5" i="23" s="1"/>
  <c r="D6" s="1"/>
  <c r="E8" i="32"/>
  <c r="B7" i="31"/>
  <c r="B5" i="23" s="1"/>
  <c r="B6" s="1"/>
  <c r="C23" i="27"/>
  <c r="C7" i="28" s="1"/>
  <c r="C2" i="29" s="1"/>
  <c r="C6" s="1"/>
  <c r="C9" i="30" s="1"/>
  <c r="C10" s="1"/>
  <c r="D10" i="23" l="1"/>
  <c r="F6" i="32" s="1"/>
  <c r="D8" i="23"/>
  <c r="F4" i="32" s="1"/>
  <c r="J19" i="2"/>
  <c r="D9" i="23"/>
  <c r="F5" i="32" s="1"/>
  <c r="B10" i="23"/>
  <c r="E6" i="32" s="1"/>
  <c r="B9" i="23"/>
  <c r="E5" i="32" s="1"/>
  <c r="B8" i="23"/>
  <c r="E4" i="32" s="1"/>
  <c r="H19" i="2"/>
  <c r="C16" i="30"/>
  <c r="C17"/>
  <c r="C18"/>
  <c r="C23" l="1"/>
  <c r="C7" i="31" l="1"/>
  <c r="C5" i="23" s="1"/>
  <c r="C6" s="1"/>
  <c r="C10" s="1"/>
  <c r="C6" i="32" s="1"/>
  <c r="C8"/>
  <c r="C9" i="23" l="1"/>
  <c r="C5" i="32" s="1"/>
  <c r="C8" i="23"/>
  <c r="C4" i="32" s="1"/>
  <c r="I19" i="2"/>
</calcChain>
</file>

<file path=xl/sharedStrings.xml><?xml version="1.0" encoding="utf-8"?>
<sst xmlns="http://schemas.openxmlformats.org/spreadsheetml/2006/main" count="533" uniqueCount="259">
  <si>
    <t>i - v</t>
  </si>
  <si>
    <t>ii - vi</t>
  </si>
  <si>
    <t>iii - vii</t>
  </si>
  <si>
    <t>iiii - viii</t>
  </si>
  <si>
    <t xml:space="preserve">D = </t>
  </si>
  <si>
    <t xml:space="preserve">D(min) = </t>
  </si>
  <si>
    <t xml:space="preserve">D(max) = </t>
  </si>
  <si>
    <t>Error</t>
  </si>
  <si>
    <t>i</t>
  </si>
  <si>
    <t>ii</t>
  </si>
  <si>
    <t>v</t>
  </si>
  <si>
    <t>vi</t>
  </si>
  <si>
    <t>vii</t>
  </si>
  <si>
    <t>viii</t>
  </si>
  <si>
    <t>Max Allowable Error</t>
  </si>
  <si>
    <t xml:space="preserve">e = </t>
  </si>
  <si>
    <t xml:space="preserve">e(min) = </t>
  </si>
  <si>
    <t xml:space="preserve">e(max) = </t>
  </si>
  <si>
    <t xml:space="preserve">d = </t>
  </si>
  <si>
    <t xml:space="preserve">d(min) = </t>
  </si>
  <si>
    <t xml:space="preserve">d(max) = </t>
  </si>
  <si>
    <t>iii</t>
  </si>
  <si>
    <t>iiii</t>
  </si>
  <si>
    <t xml:space="preserve">E = </t>
  </si>
  <si>
    <t xml:space="preserve">E(min) = </t>
  </si>
  <si>
    <t xml:space="preserve">E(max) = </t>
  </si>
  <si>
    <t>Allowed</t>
  </si>
  <si>
    <t>°C</t>
  </si>
  <si>
    <t xml:space="preserve">l1 = </t>
  </si>
  <si>
    <t xml:space="preserve">l1(min) = </t>
  </si>
  <si>
    <t xml:space="preserve">l1(max) = </t>
  </si>
  <si>
    <t xml:space="preserve">ß = </t>
  </si>
  <si>
    <t xml:space="preserve">L1 = </t>
  </si>
  <si>
    <t xml:space="preserve">L2 = </t>
  </si>
  <si>
    <t xml:space="preserve">Re(1) = </t>
  </si>
  <si>
    <t xml:space="preserve">C(1) = </t>
  </si>
  <si>
    <t xml:space="preserve">Term 1 = </t>
  </si>
  <si>
    <t xml:space="preserve">Term 2 = </t>
  </si>
  <si>
    <t xml:space="preserve">Term 3 = </t>
  </si>
  <si>
    <t xml:space="preserve">Term 4 = </t>
  </si>
  <si>
    <t xml:space="preserve">Term 5 = </t>
  </si>
  <si>
    <t xml:space="preserve">Term 6 = </t>
  </si>
  <si>
    <t>Ambient Pressure (mBar)</t>
  </si>
  <si>
    <t xml:space="preserve">P1(min) = </t>
  </si>
  <si>
    <t xml:space="preserve">P1(max) = </t>
  </si>
  <si>
    <t>mm H2O</t>
  </si>
  <si>
    <t xml:space="preserve">Delta P = </t>
  </si>
  <si>
    <t xml:space="preserve">Delta P(min) = </t>
  </si>
  <si>
    <t xml:space="preserve">Delta P(max) = </t>
  </si>
  <si>
    <t xml:space="preserve">Pressure Ratio (min) = </t>
  </si>
  <si>
    <t xml:space="preserve">Pressure Ratio (max) = </t>
  </si>
  <si>
    <t xml:space="preserve">Coefficient of Themal Expansion = </t>
  </si>
  <si>
    <t>https://www.engineeringtoolbox.com/linear-expansion-coefficients-d_95.html</t>
  </si>
  <si>
    <t>(micro metres per metre per Kelvin)</t>
  </si>
  <si>
    <t>Ambient Temperature (°C)</t>
  </si>
  <si>
    <t>Temperature at the Upstream Tap (°C)</t>
  </si>
  <si>
    <t xml:space="preserve">l2 = </t>
  </si>
  <si>
    <t xml:space="preserve">Humidity = </t>
  </si>
  <si>
    <t>%</t>
  </si>
  <si>
    <t>kg/cu m</t>
  </si>
  <si>
    <t>Pressure Difference Across Test Orifice (mm H2O)</t>
  </si>
  <si>
    <t>https://www.engineeringtoolbox.com/specific-heat-ratio-d_602.html</t>
  </si>
  <si>
    <t xml:space="preserve">Dynamic Viscosity (µ) = </t>
  </si>
  <si>
    <t>N-s/m2</t>
  </si>
  <si>
    <t xml:space="preserve">Test P = </t>
  </si>
  <si>
    <t xml:space="preserve">Test P(min) = </t>
  </si>
  <si>
    <t xml:space="preserve">Test P(max) = </t>
  </si>
  <si>
    <t xml:space="preserve">T1 = </t>
  </si>
  <si>
    <t xml:space="preserve">T1(min) = </t>
  </si>
  <si>
    <t xml:space="preserve">T1(max) = </t>
  </si>
  <si>
    <t>N/sq m</t>
  </si>
  <si>
    <t xml:space="preserve">Air Density = </t>
  </si>
  <si>
    <t>kg/s</t>
  </si>
  <si>
    <t xml:space="preserve">Re(2) = </t>
  </si>
  <si>
    <t xml:space="preserve">Re(3) = </t>
  </si>
  <si>
    <t xml:space="preserve">Re(4) = </t>
  </si>
  <si>
    <t xml:space="preserve">q(v) = </t>
  </si>
  <si>
    <t>cu m/s</t>
  </si>
  <si>
    <t xml:space="preserve">q(v) @ 10" H2O = </t>
  </si>
  <si>
    <t xml:space="preserve">q(v) @ 25" H2O = </t>
  </si>
  <si>
    <t xml:space="preserve">q(v) @ 28" H2O = </t>
  </si>
  <si>
    <t xml:space="preserve">Test Orifice Depression = </t>
  </si>
  <si>
    <t>in H2O</t>
  </si>
  <si>
    <t>CFM</t>
  </si>
  <si>
    <t>Temperature at Measuring Station (Tm)</t>
  </si>
  <si>
    <t>Tm(min) =</t>
  </si>
  <si>
    <t>Tm(max) =</t>
  </si>
  <si>
    <t>min</t>
  </si>
  <si>
    <t>max</t>
  </si>
  <si>
    <t>nominal</t>
  </si>
  <si>
    <t>Dimensions and Readings</t>
  </si>
  <si>
    <t>Common Calculations</t>
  </si>
  <si>
    <t>Orifice Thickness (e)</t>
  </si>
  <si>
    <t>Orifice Plate Thickness (E)</t>
  </si>
  <si>
    <t>Pressure Difference Across Test Orifice (Test Delta P)</t>
  </si>
  <si>
    <t>Pressure Difference Across Measuring Orifice (Delta P)</t>
  </si>
  <si>
    <t>Ambient Pressure (Amb P)</t>
  </si>
  <si>
    <t xml:space="preserve">Amb P = </t>
  </si>
  <si>
    <t xml:space="preserve">Amb P(min) = </t>
  </si>
  <si>
    <t xml:space="preserve">Amb P(max) = </t>
  </si>
  <si>
    <t>Upstream Pressure (P1)</t>
  </si>
  <si>
    <t>mm</t>
  </si>
  <si>
    <t>mBar</t>
  </si>
  <si>
    <t>Ambient Temperature (Amb T)</t>
  </si>
  <si>
    <t>Temperature at Upstream Tap (T1)</t>
  </si>
  <si>
    <t xml:space="preserve">Temperature (T1) = </t>
  </si>
  <si>
    <t xml:space="preserve">Pressure (P1) = </t>
  </si>
  <si>
    <t>Air Density at Upstream Tap (Rho 1)</t>
  </si>
  <si>
    <t>Orifice Diameter (unadjusted for temp) (d)</t>
  </si>
  <si>
    <t>Bore Diameter (unadjusted for temp) (D)</t>
  </si>
  <si>
    <t>Bore Diameter (adjusted for temperature) (D)</t>
  </si>
  <si>
    <t>Orifice Diameter (adjusted for temperature) (d)</t>
  </si>
  <si>
    <t>Coefficient of Thermal Expansion</t>
  </si>
  <si>
    <t>µm/mK</t>
  </si>
  <si>
    <t>Distance to Upstream Tap (unadjusted for temp) (l1)</t>
  </si>
  <si>
    <t>Distance to Downstream Tap (unadjusted for temp) (l2)</t>
  </si>
  <si>
    <t>Distance to Downstream Tap (adjusted for temp) (l2)</t>
  </si>
  <si>
    <t>Distance to Upstream Tap (adjusted for temp) (l1)</t>
  </si>
  <si>
    <t>Diameter Ratio (unadjusted for temp) (ß)</t>
  </si>
  <si>
    <t>Relative Upstream Tap Ratio (unadjusted for temp) (L1)</t>
  </si>
  <si>
    <t>Relative Downstream Tap Ratio (unadjusted for temp) (L2)</t>
  </si>
  <si>
    <t>Diameter Ratio (adjusted for temp) (ß)</t>
  </si>
  <si>
    <t>Relative Upstream Tap Ratio (adjusted for temp) (L1)</t>
  </si>
  <si>
    <t>Relative Downstream Tap Ratio (adjusted for temp) (L2)</t>
  </si>
  <si>
    <t>Dynamic Viscosity (µ)</t>
  </si>
  <si>
    <t>Isentropic Exponent (k)</t>
  </si>
  <si>
    <t>Approach Velocity Factor (E)</t>
  </si>
  <si>
    <t>Volume Flow Rate [ q(v) ]</t>
  </si>
  <si>
    <t xml:space="preserve">Amb T = </t>
  </si>
  <si>
    <t xml:space="preserve">Amb T(min) = </t>
  </si>
  <si>
    <t xml:space="preserve">Amb T(max) = </t>
  </si>
  <si>
    <t>Air Density at Test Orifice (Rho Test)</t>
  </si>
  <si>
    <t xml:space="preserve">q(m) (1) = </t>
  </si>
  <si>
    <t xml:space="preserve">C(2) = </t>
  </si>
  <si>
    <t xml:space="preserve">q(m) (2) = </t>
  </si>
  <si>
    <t xml:space="preserve">q(m) (3) = </t>
  </si>
  <si>
    <t xml:space="preserve">C(4) = </t>
  </si>
  <si>
    <t xml:space="preserve">C(3) = </t>
  </si>
  <si>
    <t>(min)</t>
  </si>
  <si>
    <t>(max)</t>
  </si>
  <si>
    <t xml:space="preserve">q(m) (4) = </t>
  </si>
  <si>
    <t>(Measured 5D Downstream from Orifice Plate)</t>
  </si>
  <si>
    <t>Pressure Difference Across Measurement Orifice (mm H2O)</t>
  </si>
  <si>
    <t>Pressure Difference Between Downstream Tap &amp; Atmosphere</t>
  </si>
  <si>
    <t xml:space="preserve">Absolute Downstream Tap Pressure                                                 P2 = </t>
  </si>
  <si>
    <t xml:space="preserve">P2(min) = </t>
  </si>
  <si>
    <t xml:space="preserve">P2(max) = </t>
  </si>
  <si>
    <t xml:space="preserve">P2/P1 = </t>
  </si>
  <si>
    <t>(see 3.4.2)</t>
  </si>
  <si>
    <t>Pressure Ratio (See 2.2.4 &amp; 5.3.3)</t>
  </si>
  <si>
    <t xml:space="preserve">l2(min) = </t>
  </si>
  <si>
    <t xml:space="preserve">l2(max) = </t>
  </si>
  <si>
    <t>The calculations in this workbook are based on those in</t>
  </si>
  <si>
    <t>Uncertainty (tolerance) is based on worse-case scenario</t>
  </si>
  <si>
    <t>Populate the yellow boxes</t>
  </si>
  <si>
    <t>You can access the calculations and hidden sheets by unprotecting sheets and the workbook as appropriate</t>
  </si>
  <si>
    <t>The calculations are valid for Diameter Ratioes between 0.2 and 0.6 (0.2 &lt; ß &lt; 0.6)</t>
  </si>
  <si>
    <t>The results cannot be trusted if your system is out of tolerance with any part of the standard</t>
  </si>
  <si>
    <t xml:space="preserve">Diameter Ratio = </t>
  </si>
  <si>
    <t>ISO 5167-1:2003(E) &amp; ISO 5167-2:2003(E)</t>
  </si>
  <si>
    <t>ISO 5167-2:2003(E)</t>
  </si>
  <si>
    <t>Bore Diameter in Region of Orifice Plate (see 6.4.2)</t>
  </si>
  <si>
    <t>The system is outside the scope of ISO 5167-2 if either of these values is greater than 0.3%</t>
  </si>
  <si>
    <t>Orifice Diameter (see 5.1.8)</t>
  </si>
  <si>
    <t>Orifice Thickness (see Figure 1, 5.1.5.1 &amp; 5.1.5.2)</t>
  </si>
  <si>
    <t>Orifice Plate Thickness (see Figure 1, 5.1.5.3 &amp; 5.1.5.4)</t>
  </si>
  <si>
    <t>The system is outside the scope of ISO 5167-2 if either of these values is greater than 0.05%</t>
  </si>
  <si>
    <t>The system is outside the scope of ISO 5167-2 if either of these values is greater than the max allowable error (0.001D)</t>
  </si>
  <si>
    <t>The system is outside the scope of ISO 5167-2 if E(min) is less than the minimum thickness or E(max) is greater than the maximum allowable thickness</t>
  </si>
  <si>
    <t>The system is outside the scope of ISO 5167-2 if l1(min) is less 0.9D or l1(max) is greater than 1.1D</t>
  </si>
  <si>
    <t>The system is outside the scope of ISO 5167-2 if l2(min) is less 0.48D or l2(max) is greater than 0.52D</t>
  </si>
  <si>
    <t>Distance to Upstream Tap (see Figure 3 &amp; 5.2.2.2)</t>
  </si>
  <si>
    <t>Distance to Downstream Tap (see Figure 3 &amp; 5.2.2.2)</t>
  </si>
  <si>
    <t xml:space="preserve">A = </t>
  </si>
  <si>
    <t xml:space="preserve">Term 7 = </t>
  </si>
  <si>
    <t xml:space="preserve">Term 8 = </t>
  </si>
  <si>
    <t>See ISO 5167-2:2003(E), 5.3.2.1</t>
  </si>
  <si>
    <t xml:space="preserve">M2 = </t>
  </si>
  <si>
    <t>Downstream Pressure (P2)</t>
  </si>
  <si>
    <t>Pressure Ratio (P2/P1)</t>
  </si>
  <si>
    <t>Expansion Factor (€) (see ISO 5167-2:2003(E), 5.3.2.2)</t>
  </si>
  <si>
    <t>M2 (see ISO 5167-2:2003(E), 5.3.2.1)</t>
  </si>
  <si>
    <t>(Measured on sea-level calibrated barometer)</t>
  </si>
  <si>
    <t xml:space="preserve"> min</t>
  </si>
  <si>
    <t xml:space="preserve">Discharge Coefficient (C) = </t>
  </si>
  <si>
    <t>The system is outside the scope of ISO 5167 if any of these values is less than 0.75</t>
  </si>
  <si>
    <t>Ambient Humidity</t>
  </si>
  <si>
    <t xml:space="preserve">Amb H% = </t>
  </si>
  <si>
    <t xml:space="preserve">Amb H%(min) = </t>
  </si>
  <si>
    <t xml:space="preserve">Amb H%(max) = </t>
  </si>
  <si>
    <t xml:space="preserve">Dynamic Viscosity @ Upstream Plane (µ) = </t>
  </si>
  <si>
    <t xml:space="preserve">Isentropic Exponent @ Upstream Plane (k) = </t>
  </si>
  <si>
    <t>http://www.peacesoftware.de/einigewerte/luft_e.html</t>
  </si>
  <si>
    <t xml:space="preserve">Ambient Temp (T) = </t>
  </si>
  <si>
    <t xml:space="preserve">Ambient Temp (Tk) = </t>
  </si>
  <si>
    <t>°K</t>
  </si>
  <si>
    <t xml:space="preserve">Pressure (P) = </t>
  </si>
  <si>
    <t xml:space="preserve">Dewpoint (Tv) = </t>
  </si>
  <si>
    <r>
      <t>c</t>
    </r>
    <r>
      <rPr>
        <vertAlign val="subscript"/>
        <sz val="11"/>
        <color theme="1"/>
        <rFont val="Roboto"/>
      </rPr>
      <t>0</t>
    </r>
    <r>
      <rPr>
        <sz val="11"/>
        <color theme="1"/>
        <rFont val="Roboto"/>
      </rPr>
      <t> = 0.99999683</t>
    </r>
  </si>
  <si>
    <r>
      <t>c</t>
    </r>
    <r>
      <rPr>
        <vertAlign val="subscript"/>
        <sz val="11"/>
        <color theme="1"/>
        <rFont val="Roboto"/>
      </rPr>
      <t>1</t>
    </r>
    <r>
      <rPr>
        <sz val="11"/>
        <color theme="1"/>
        <rFont val="Roboto"/>
      </rPr>
      <t> = -0.90826951 · 10</t>
    </r>
    <r>
      <rPr>
        <vertAlign val="superscript"/>
        <sz val="11"/>
        <color theme="1"/>
        <rFont val="Roboto"/>
      </rPr>
      <t>-2</t>
    </r>
  </si>
  <si>
    <r>
      <t>c</t>
    </r>
    <r>
      <rPr>
        <vertAlign val="subscript"/>
        <sz val="11"/>
        <color theme="1"/>
        <rFont val="Roboto"/>
      </rPr>
      <t>2</t>
    </r>
    <r>
      <rPr>
        <sz val="11"/>
        <color theme="1"/>
        <rFont val="Roboto"/>
      </rPr>
      <t> = 0.78736169 · 10</t>
    </r>
    <r>
      <rPr>
        <vertAlign val="superscript"/>
        <sz val="11"/>
        <color theme="1"/>
        <rFont val="Roboto"/>
      </rPr>
      <t>-4</t>
    </r>
  </si>
  <si>
    <r>
      <t>c</t>
    </r>
    <r>
      <rPr>
        <vertAlign val="subscript"/>
        <sz val="11"/>
        <color theme="1"/>
        <rFont val="Roboto"/>
      </rPr>
      <t>3</t>
    </r>
    <r>
      <rPr>
        <sz val="11"/>
        <color theme="1"/>
        <rFont val="Roboto"/>
      </rPr>
      <t> = -0.61117958 · 10</t>
    </r>
    <r>
      <rPr>
        <vertAlign val="superscript"/>
        <sz val="11"/>
        <color theme="1"/>
        <rFont val="Roboto"/>
      </rPr>
      <t>-6</t>
    </r>
  </si>
  <si>
    <r>
      <t>c</t>
    </r>
    <r>
      <rPr>
        <vertAlign val="subscript"/>
        <sz val="11"/>
        <color theme="1"/>
        <rFont val="Roboto"/>
      </rPr>
      <t>4</t>
    </r>
    <r>
      <rPr>
        <sz val="11"/>
        <color theme="1"/>
        <rFont val="Roboto"/>
      </rPr>
      <t> = 0.43884187 · 10</t>
    </r>
    <r>
      <rPr>
        <vertAlign val="superscript"/>
        <sz val="11"/>
        <color theme="1"/>
        <rFont val="Roboto"/>
      </rPr>
      <t>-8</t>
    </r>
  </si>
  <si>
    <r>
      <t>c</t>
    </r>
    <r>
      <rPr>
        <vertAlign val="subscript"/>
        <sz val="11"/>
        <color theme="1"/>
        <rFont val="Roboto"/>
      </rPr>
      <t>5</t>
    </r>
    <r>
      <rPr>
        <sz val="11"/>
        <color theme="1"/>
        <rFont val="Roboto"/>
      </rPr>
      <t> = -0.29883885 · 10</t>
    </r>
    <r>
      <rPr>
        <vertAlign val="superscript"/>
        <sz val="11"/>
        <color theme="1"/>
        <rFont val="Roboto"/>
      </rPr>
      <t>-10</t>
    </r>
  </si>
  <si>
    <r>
      <t>c</t>
    </r>
    <r>
      <rPr>
        <vertAlign val="subscript"/>
        <sz val="11"/>
        <color theme="1"/>
        <rFont val="Roboto"/>
      </rPr>
      <t>6</t>
    </r>
    <r>
      <rPr>
        <sz val="11"/>
        <color theme="1"/>
        <rFont val="Roboto"/>
      </rPr>
      <t> = 0.21874425 · 10</t>
    </r>
    <r>
      <rPr>
        <vertAlign val="superscript"/>
        <sz val="11"/>
        <color theme="1"/>
        <rFont val="Roboto"/>
      </rPr>
      <t>-12</t>
    </r>
  </si>
  <si>
    <r>
      <t>c</t>
    </r>
    <r>
      <rPr>
        <vertAlign val="subscript"/>
        <sz val="11"/>
        <color theme="1"/>
        <rFont val="Roboto"/>
      </rPr>
      <t>7</t>
    </r>
    <r>
      <rPr>
        <sz val="11"/>
        <color theme="1"/>
        <rFont val="Roboto"/>
      </rPr>
      <t> = -0.17892321 · 10</t>
    </r>
    <r>
      <rPr>
        <vertAlign val="superscript"/>
        <sz val="11"/>
        <color theme="1"/>
        <rFont val="Roboto"/>
      </rPr>
      <t>-14</t>
    </r>
  </si>
  <si>
    <r>
      <t>c</t>
    </r>
    <r>
      <rPr>
        <vertAlign val="subscript"/>
        <sz val="11"/>
        <color theme="1"/>
        <rFont val="Roboto"/>
      </rPr>
      <t>8</t>
    </r>
    <r>
      <rPr>
        <sz val="11"/>
        <color theme="1"/>
        <rFont val="Roboto"/>
      </rPr>
      <t> = 0.11112018 · 10</t>
    </r>
    <r>
      <rPr>
        <vertAlign val="superscript"/>
        <sz val="11"/>
        <color theme="1"/>
        <rFont val="Roboto"/>
      </rPr>
      <t>-16</t>
    </r>
  </si>
  <si>
    <r>
      <t>c</t>
    </r>
    <r>
      <rPr>
        <vertAlign val="subscript"/>
        <sz val="11"/>
        <color theme="1"/>
        <rFont val="Roboto"/>
      </rPr>
      <t>9</t>
    </r>
    <r>
      <rPr>
        <sz val="11"/>
        <color theme="1"/>
        <rFont val="Roboto"/>
      </rPr>
      <t> = -0.30994571 · 10</t>
    </r>
    <r>
      <rPr>
        <vertAlign val="superscript"/>
        <sz val="11"/>
        <color theme="1"/>
        <rFont val="Roboto"/>
      </rPr>
      <t>-19</t>
    </r>
  </si>
  <si>
    <r>
      <t>Pv</t>
    </r>
    <r>
      <rPr>
        <sz val="11"/>
        <color theme="1"/>
        <rFont val="Roboto"/>
      </rPr>
      <t> = c</t>
    </r>
    <r>
      <rPr>
        <vertAlign val="subscript"/>
        <sz val="11"/>
        <color theme="1"/>
        <rFont val="Roboto"/>
      </rPr>
      <t>0</t>
    </r>
    <r>
      <rPr>
        <sz val="11"/>
        <color theme="1"/>
        <rFont val="Roboto"/>
      </rPr>
      <t> + </t>
    </r>
    <r>
      <rPr>
        <b/>
        <sz val="11"/>
        <color theme="1"/>
        <rFont val="Roboto"/>
      </rPr>
      <t>T</t>
    </r>
    <r>
      <rPr>
        <sz val="11"/>
        <color theme="1"/>
        <rFont val="Roboto"/>
      </rPr>
      <t> (c</t>
    </r>
    <r>
      <rPr>
        <vertAlign val="subscript"/>
        <sz val="11"/>
        <color theme="1"/>
        <rFont val="Roboto"/>
      </rPr>
      <t>1</t>
    </r>
    <r>
      <rPr>
        <sz val="11"/>
        <color theme="1"/>
        <rFont val="Roboto"/>
      </rPr>
      <t> + </t>
    </r>
    <r>
      <rPr>
        <b/>
        <sz val="11"/>
        <color theme="1"/>
        <rFont val="Roboto"/>
      </rPr>
      <t>T</t>
    </r>
    <r>
      <rPr>
        <sz val="11"/>
        <color theme="1"/>
        <rFont val="Roboto"/>
      </rPr>
      <t> (c</t>
    </r>
    <r>
      <rPr>
        <vertAlign val="subscript"/>
        <sz val="11"/>
        <color theme="1"/>
        <rFont val="Roboto"/>
      </rPr>
      <t>2</t>
    </r>
    <r>
      <rPr>
        <sz val="11"/>
        <color theme="1"/>
        <rFont val="Roboto"/>
      </rPr>
      <t> + </t>
    </r>
    <r>
      <rPr>
        <b/>
        <sz val="11"/>
        <color theme="1"/>
        <rFont val="Roboto"/>
      </rPr>
      <t>T</t>
    </r>
    <r>
      <rPr>
        <sz val="11"/>
        <color theme="1"/>
        <rFont val="Roboto"/>
      </rPr>
      <t> (c</t>
    </r>
    <r>
      <rPr>
        <vertAlign val="subscript"/>
        <sz val="11"/>
        <color theme="1"/>
        <rFont val="Roboto"/>
      </rPr>
      <t>3</t>
    </r>
    <r>
      <rPr>
        <sz val="11"/>
        <color theme="1"/>
        <rFont val="Roboto"/>
      </rPr>
      <t> + </t>
    </r>
    <r>
      <rPr>
        <b/>
        <sz val="11"/>
        <color theme="1"/>
        <rFont val="Roboto"/>
      </rPr>
      <t>T</t>
    </r>
    <r>
      <rPr>
        <sz val="11"/>
        <color theme="1"/>
        <rFont val="Roboto"/>
      </rPr>
      <t> (c</t>
    </r>
    <r>
      <rPr>
        <vertAlign val="subscript"/>
        <sz val="11"/>
        <color theme="1"/>
        <rFont val="Roboto"/>
      </rPr>
      <t>4</t>
    </r>
    <r>
      <rPr>
        <sz val="11"/>
        <color theme="1"/>
        <rFont val="Roboto"/>
      </rPr>
      <t> + </t>
    </r>
    <r>
      <rPr>
        <b/>
        <sz val="11"/>
        <color theme="1"/>
        <rFont val="Roboto"/>
      </rPr>
      <t>T</t>
    </r>
    <r>
      <rPr>
        <sz val="11"/>
        <color theme="1"/>
        <rFont val="Roboto"/>
      </rPr>
      <t> (c</t>
    </r>
    <r>
      <rPr>
        <vertAlign val="subscript"/>
        <sz val="11"/>
        <color theme="1"/>
        <rFont val="Roboto"/>
      </rPr>
      <t>5</t>
    </r>
    <r>
      <rPr>
        <sz val="11"/>
        <color theme="1"/>
        <rFont val="Roboto"/>
      </rPr>
      <t> + </t>
    </r>
    <r>
      <rPr>
        <b/>
        <sz val="11"/>
        <color theme="1"/>
        <rFont val="Roboto"/>
      </rPr>
      <t>T</t>
    </r>
    <r>
      <rPr>
        <sz val="11"/>
        <color theme="1"/>
        <rFont val="Roboto"/>
      </rPr>
      <t> (c</t>
    </r>
    <r>
      <rPr>
        <vertAlign val="subscript"/>
        <sz val="11"/>
        <color theme="1"/>
        <rFont val="Roboto"/>
      </rPr>
      <t>6</t>
    </r>
    <r>
      <rPr>
        <sz val="11"/>
        <color theme="1"/>
        <rFont val="Roboto"/>
      </rPr>
      <t> + </t>
    </r>
    <r>
      <rPr>
        <b/>
        <sz val="11"/>
        <color theme="1"/>
        <rFont val="Roboto"/>
      </rPr>
      <t>T</t>
    </r>
    <r>
      <rPr>
        <sz val="11"/>
        <color theme="1"/>
        <rFont val="Roboto"/>
      </rPr>
      <t> (c</t>
    </r>
    <r>
      <rPr>
        <vertAlign val="subscript"/>
        <sz val="11"/>
        <color theme="1"/>
        <rFont val="Roboto"/>
      </rPr>
      <t>7</t>
    </r>
    <r>
      <rPr>
        <sz val="11"/>
        <color theme="1"/>
        <rFont val="Roboto"/>
      </rPr>
      <t> + </t>
    </r>
    <r>
      <rPr>
        <b/>
        <sz val="11"/>
        <color theme="1"/>
        <rFont val="Roboto"/>
      </rPr>
      <t>T</t>
    </r>
    <r>
      <rPr>
        <sz val="11"/>
        <color theme="1"/>
        <rFont val="Roboto"/>
      </rPr>
      <t> (c</t>
    </r>
    <r>
      <rPr>
        <vertAlign val="subscript"/>
        <sz val="11"/>
        <color theme="1"/>
        <rFont val="Roboto"/>
      </rPr>
      <t>8</t>
    </r>
    <r>
      <rPr>
        <sz val="11"/>
        <color theme="1"/>
        <rFont val="Roboto"/>
      </rPr>
      <t> + </t>
    </r>
    <r>
      <rPr>
        <b/>
        <sz val="11"/>
        <color theme="1"/>
        <rFont val="Roboto"/>
      </rPr>
      <t>T</t>
    </r>
    <r>
      <rPr>
        <sz val="11"/>
        <color theme="1"/>
        <rFont val="Roboto"/>
      </rPr>
      <t> (c</t>
    </r>
    <r>
      <rPr>
        <vertAlign val="subscript"/>
        <sz val="11"/>
        <color theme="1"/>
        <rFont val="Roboto"/>
      </rPr>
      <t>9</t>
    </r>
    <r>
      <rPr>
        <sz val="11"/>
        <color theme="1"/>
        <rFont val="Roboto"/>
      </rPr>
      <t>) ) ) ) ) ) ) )</t>
    </r>
  </si>
  <si>
    <t xml:space="preserve">Pv = </t>
  </si>
  <si>
    <t>Pa</t>
  </si>
  <si>
    <r>
      <t>P</t>
    </r>
    <r>
      <rPr>
        <b/>
        <vertAlign val="subscript"/>
        <sz val="11"/>
        <color theme="1"/>
        <rFont val="Roboto"/>
      </rPr>
      <t>d</t>
    </r>
    <r>
      <rPr>
        <sz val="11"/>
        <color theme="1"/>
        <rFont val="Roboto"/>
      </rPr>
      <t xml:space="preserve"> = </t>
    </r>
    <r>
      <rPr>
        <b/>
        <sz val="11"/>
        <color theme="1"/>
        <rFont val="Roboto"/>
      </rPr>
      <t>P</t>
    </r>
    <r>
      <rPr>
        <sz val="11"/>
        <color theme="1"/>
        <rFont val="Roboto"/>
      </rPr>
      <t>  — </t>
    </r>
    <r>
      <rPr>
        <b/>
        <sz val="11"/>
        <color theme="1"/>
        <rFont val="Roboto"/>
      </rPr>
      <t>P</t>
    </r>
    <r>
      <rPr>
        <b/>
        <vertAlign val="subscript"/>
        <sz val="11"/>
        <color theme="1"/>
        <rFont val="Roboto"/>
      </rPr>
      <t>v</t>
    </r>
  </si>
  <si>
    <t xml:space="preserve">= </t>
  </si>
  <si>
    <r>
      <t>R</t>
    </r>
    <r>
      <rPr>
        <b/>
        <vertAlign val="subscript"/>
        <sz val="11"/>
        <color theme="1"/>
        <rFont val="Roboto"/>
      </rPr>
      <t>v</t>
    </r>
    <r>
      <rPr>
        <sz val="11"/>
        <color theme="1"/>
        <rFont val="Roboto"/>
      </rPr>
      <t> is 461.4964</t>
    </r>
  </si>
  <si>
    <r>
      <t>R</t>
    </r>
    <r>
      <rPr>
        <b/>
        <vertAlign val="subscript"/>
        <sz val="11"/>
        <color theme="1"/>
        <rFont val="Roboto"/>
      </rPr>
      <t>d</t>
    </r>
    <r>
      <rPr>
        <sz val="11"/>
        <color theme="1"/>
        <rFont val="Roboto"/>
      </rPr>
      <t> is 287.0531</t>
    </r>
  </si>
  <si>
    <r>
      <t>T</t>
    </r>
    <r>
      <rPr>
        <b/>
        <vertAlign val="subscript"/>
        <sz val="11"/>
        <color theme="1"/>
        <rFont val="Roboto"/>
      </rPr>
      <t>k</t>
    </r>
    <r>
      <rPr>
        <sz val="11"/>
        <color theme="1"/>
        <rFont val="Roboto"/>
      </rPr>
      <t> is measured temperature in degrees Kelvin, i.e., measured temperature </t>
    </r>
    <r>
      <rPr>
        <b/>
        <sz val="11"/>
        <color theme="1"/>
        <rFont val="Roboto"/>
      </rPr>
      <t>T</t>
    </r>
    <r>
      <rPr>
        <sz val="11"/>
        <color theme="1"/>
        <rFont val="Roboto"/>
      </rPr>
      <t> (Celsius) + 273.15</t>
    </r>
  </si>
  <si>
    <r>
      <t>Rho</t>
    </r>
    <r>
      <rPr>
        <sz val="11"/>
        <color theme="1"/>
        <rFont val="Roboto"/>
      </rPr>
      <t> (kg/m</t>
    </r>
    <r>
      <rPr>
        <vertAlign val="superscript"/>
        <sz val="11"/>
        <color theme="1"/>
        <rFont val="Roboto"/>
      </rPr>
      <t>3</t>
    </r>
    <r>
      <rPr>
        <sz val="11"/>
        <color theme="1"/>
        <rFont val="Roboto"/>
      </rPr>
      <t>) = (</t>
    </r>
    <r>
      <rPr>
        <b/>
        <sz val="11"/>
        <color theme="1"/>
        <rFont val="Roboto"/>
      </rPr>
      <t>P</t>
    </r>
    <r>
      <rPr>
        <b/>
        <vertAlign val="subscript"/>
        <sz val="11"/>
        <color theme="1"/>
        <rFont val="Roboto"/>
      </rPr>
      <t>d</t>
    </r>
    <r>
      <rPr>
        <sz val="11"/>
        <color theme="1"/>
        <rFont val="Roboto"/>
      </rPr>
      <t> / (</t>
    </r>
    <r>
      <rPr>
        <b/>
        <sz val="11"/>
        <color theme="1"/>
        <rFont val="Roboto"/>
      </rPr>
      <t>R</t>
    </r>
    <r>
      <rPr>
        <b/>
        <vertAlign val="subscript"/>
        <sz val="11"/>
        <color theme="1"/>
        <rFont val="Roboto"/>
      </rPr>
      <t>d</t>
    </r>
    <r>
      <rPr>
        <sz val="11"/>
        <color theme="1"/>
        <rFont val="Roboto"/>
      </rPr>
      <t> · </t>
    </r>
    <r>
      <rPr>
        <b/>
        <sz val="11"/>
        <color theme="1"/>
        <rFont val="Roboto"/>
      </rPr>
      <t>T</t>
    </r>
    <r>
      <rPr>
        <b/>
        <vertAlign val="subscript"/>
        <sz val="11"/>
        <color theme="1"/>
        <rFont val="Roboto"/>
      </rPr>
      <t>k</t>
    </r>
    <r>
      <rPr>
        <sz val="11"/>
        <color theme="1"/>
        <rFont val="Roboto"/>
      </rPr>
      <t>)) + (</t>
    </r>
    <r>
      <rPr>
        <b/>
        <sz val="11"/>
        <color theme="1"/>
        <rFont val="Roboto"/>
      </rPr>
      <t>P</t>
    </r>
    <r>
      <rPr>
        <b/>
        <vertAlign val="subscript"/>
        <sz val="11"/>
        <color theme="1"/>
        <rFont val="Roboto"/>
      </rPr>
      <t>v</t>
    </r>
    <r>
      <rPr>
        <sz val="11"/>
        <color theme="1"/>
        <rFont val="Roboto"/>
      </rPr>
      <t> / (</t>
    </r>
    <r>
      <rPr>
        <b/>
        <sz val="11"/>
        <color theme="1"/>
        <rFont val="Roboto"/>
      </rPr>
      <t>R</t>
    </r>
    <r>
      <rPr>
        <b/>
        <vertAlign val="subscript"/>
        <sz val="11"/>
        <color theme="1"/>
        <rFont val="Roboto"/>
      </rPr>
      <t>v</t>
    </r>
    <r>
      <rPr>
        <sz val="11"/>
        <color theme="1"/>
        <rFont val="Roboto"/>
      </rPr>
      <t> · </t>
    </r>
    <r>
      <rPr>
        <b/>
        <sz val="11"/>
        <color theme="1"/>
        <rFont val="Roboto"/>
      </rPr>
      <t>T</t>
    </r>
    <r>
      <rPr>
        <b/>
        <vertAlign val="subscript"/>
        <sz val="11"/>
        <color theme="1"/>
        <rFont val="Roboto"/>
      </rPr>
      <t>k</t>
    </r>
    <r>
      <rPr>
        <sz val="11"/>
        <color theme="1"/>
        <rFont val="Roboto"/>
      </rPr>
      <t>))</t>
    </r>
  </si>
  <si>
    <t>Ambient</t>
  </si>
  <si>
    <t>Upstream Tap Plane</t>
  </si>
  <si>
    <t>Min</t>
  </si>
  <si>
    <t>Nominal</t>
  </si>
  <si>
    <t>Max</t>
  </si>
  <si>
    <t>obs lat</t>
  </si>
  <si>
    <t>Degrees</t>
  </si>
  <si>
    <t>obs temp</t>
  </si>
  <si>
    <t>obs height</t>
  </si>
  <si>
    <t>metres</t>
  </si>
  <si>
    <t>obs barometer</t>
  </si>
  <si>
    <t>lat</t>
  </si>
  <si>
    <t>temp</t>
  </si>
  <si>
    <t>°F</t>
  </si>
  <si>
    <t>height</t>
  </si>
  <si>
    <t>Feet</t>
  </si>
  <si>
    <t>barometer</t>
  </si>
  <si>
    <t>in Hg</t>
  </si>
  <si>
    <t>Radians</t>
  </si>
  <si>
    <t>°R</t>
  </si>
  <si>
    <t>temp1</t>
  </si>
  <si>
    <t>latitude correction</t>
  </si>
  <si>
    <t>temperature correction</t>
  </si>
  <si>
    <t>altitude correction</t>
  </si>
  <si>
    <t>correction</t>
  </si>
  <si>
    <t>actual pressure</t>
  </si>
  <si>
    <t xml:space="preserve">Absolute Upstream Tap Pressure                                                       P1 = </t>
  </si>
  <si>
    <t>Pressure Difference Between Upstream Tap &amp; Atmosphere</t>
  </si>
  <si>
    <t>Corrected</t>
  </si>
  <si>
    <t xml:space="preserve">Latitude = </t>
  </si>
  <si>
    <t>degrees</t>
  </si>
  <si>
    <t xml:space="preserve">Elevation (altitude) = </t>
  </si>
  <si>
    <t>(see Google Earth, or similar)</t>
  </si>
  <si>
    <t>(see Ordnance Survey)</t>
  </si>
  <si>
    <t>Corrected + P1</t>
  </si>
  <si>
    <t>Corrected + P2</t>
  </si>
  <si>
    <t xml:space="preserve">gamma = </t>
  </si>
  <si>
    <t xml:space="preserve">T(dewpoint) = </t>
  </si>
  <si>
    <t xml:space="preserve">T = </t>
  </si>
  <si>
    <t>After you have populated "Inputs - Constants", you shouldn't need to change any of the values unless you change your system</t>
  </si>
  <si>
    <t>Link to ISO 5167-1:2003(E)</t>
  </si>
  <si>
    <t>Link to ISO 5167-2:2003(E)</t>
  </si>
</sst>
</file>

<file path=xl/styles.xml><?xml version="1.0" encoding="utf-8"?>
<styleSheet xmlns="http://schemas.openxmlformats.org/spreadsheetml/2006/main">
  <numFmts count="4">
    <numFmt numFmtId="164" formatCode="0.000"/>
    <numFmt numFmtId="165" formatCode="0.0"/>
    <numFmt numFmtId="166" formatCode="0.0000000E+00"/>
    <numFmt numFmtId="167" formatCode="0.000000000"/>
  </numFmts>
  <fonts count="1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24"/>
      <color theme="1"/>
      <name val="Calibri"/>
      <family val="2"/>
      <scheme val="minor"/>
    </font>
    <font>
      <sz val="11"/>
      <color theme="1"/>
      <name val="Roboto"/>
    </font>
    <font>
      <vertAlign val="subscript"/>
      <sz val="11"/>
      <color theme="1"/>
      <name val="Roboto"/>
    </font>
    <font>
      <vertAlign val="superscript"/>
      <sz val="11"/>
      <color theme="1"/>
      <name val="Roboto"/>
    </font>
    <font>
      <b/>
      <sz val="11"/>
      <color theme="1"/>
      <name val="Roboto"/>
    </font>
    <font>
      <b/>
      <vertAlign val="subscript"/>
      <sz val="11"/>
      <color theme="1"/>
      <name val="Roboto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0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3" fillId="0" borderId="0" xfId="0" applyFont="1"/>
    <xf numFmtId="0" fontId="0" fillId="0" borderId="0" xfId="0" applyAlignment="1"/>
    <xf numFmtId="10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0" xfId="0" applyFill="1" applyBorder="1" applyAlignment="1"/>
    <xf numFmtId="0" fontId="0" fillId="0" borderId="0" xfId="0" applyAlignment="1">
      <alignment horizontal="left"/>
    </xf>
    <xf numFmtId="0" fontId="1" fillId="3" borderId="1" xfId="0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2" fontId="0" fillId="0" borderId="0" xfId="0" applyNumberFormat="1" applyAlignment="1">
      <alignment horizontal="left"/>
    </xf>
    <xf numFmtId="165" fontId="1" fillId="3" borderId="1" xfId="0" applyNumberFormat="1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165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165" fontId="0" fillId="0" borderId="1" xfId="0" applyNumberFormat="1" applyBorder="1" applyAlignment="1">
      <alignment horizontal="center"/>
    </xf>
    <xf numFmtId="1" fontId="0" fillId="0" borderId="0" xfId="0" applyNumberFormat="1" applyAlignment="1">
      <alignment horizontal="left"/>
    </xf>
    <xf numFmtId="167" fontId="0" fillId="0" borderId="0" xfId="0" applyNumberFormat="1"/>
    <xf numFmtId="167" fontId="1" fillId="3" borderId="1" xfId="0" applyNumberFormat="1" applyFont="1" applyFill="1" applyBorder="1"/>
    <xf numFmtId="164" fontId="0" fillId="0" borderId="0" xfId="0" applyNumberFormat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5" fillId="0" borderId="9" xfId="0" applyFont="1" applyBorder="1" applyAlignment="1" applyProtection="1">
      <alignment horizontal="right"/>
    </xf>
    <xf numFmtId="165" fontId="5" fillId="0" borderId="10" xfId="0" applyNumberFormat="1" applyFont="1" applyBorder="1" applyAlignment="1" applyProtection="1">
      <alignment horizontal="center"/>
    </xf>
    <xf numFmtId="0" fontId="5" fillId="0" borderId="11" xfId="0" applyFont="1" applyBorder="1" applyAlignment="1" applyProtection="1">
      <alignment horizontal="center"/>
    </xf>
    <xf numFmtId="165" fontId="0" fillId="0" borderId="0" xfId="0" applyNumberFormat="1" applyAlignment="1" applyProtection="1">
      <alignment horizontal="center" vertical="center"/>
    </xf>
    <xf numFmtId="0" fontId="5" fillId="0" borderId="12" xfId="0" applyFont="1" applyBorder="1" applyAlignment="1" applyProtection="1">
      <alignment horizontal="right"/>
    </xf>
    <xf numFmtId="165" fontId="5" fillId="0" borderId="0" xfId="0" applyNumberFormat="1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/>
    </xf>
    <xf numFmtId="0" fontId="5" fillId="0" borderId="14" xfId="0" applyFont="1" applyBorder="1" applyAlignment="1" applyProtection="1">
      <alignment horizontal="right"/>
    </xf>
    <xf numFmtId="165" fontId="5" fillId="0" borderId="15" xfId="0" applyNumberFormat="1" applyFont="1" applyBorder="1" applyAlignment="1" applyProtection="1">
      <alignment horizontal="center"/>
    </xf>
    <xf numFmtId="0" fontId="5" fillId="0" borderId="16" xfId="0" applyFont="1" applyBorder="1" applyAlignment="1" applyProtection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6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4" borderId="0" xfId="0" applyFill="1"/>
    <xf numFmtId="0" fontId="0" fillId="4" borderId="9" xfId="0" applyFill="1" applyBorder="1"/>
    <xf numFmtId="0" fontId="0" fillId="4" borderId="10" xfId="0" applyFill="1" applyBorder="1"/>
    <xf numFmtId="0" fontId="0" fillId="4" borderId="11" xfId="0" applyFill="1" applyBorder="1"/>
    <xf numFmtId="0" fontId="0" fillId="4" borderId="12" xfId="0" applyFill="1" applyBorder="1"/>
    <xf numFmtId="0" fontId="0" fillId="4" borderId="0" xfId="0" applyFill="1" applyBorder="1"/>
    <xf numFmtId="0" fontId="0" fillId="4" borderId="13" xfId="0" applyFill="1" applyBorder="1"/>
    <xf numFmtId="0" fontId="0" fillId="4" borderId="14" xfId="0" applyFill="1" applyBorder="1"/>
    <xf numFmtId="0" fontId="0" fillId="4" borderId="15" xfId="0" applyFill="1" applyBorder="1"/>
    <xf numFmtId="0" fontId="0" fillId="4" borderId="16" xfId="0" applyFill="1" applyBorder="1"/>
    <xf numFmtId="165" fontId="0" fillId="0" borderId="0" xfId="0" applyNumberFormat="1" applyAlignment="1" applyProtection="1">
      <alignment horizontal="right" vertical="center"/>
    </xf>
    <xf numFmtId="164" fontId="0" fillId="0" borderId="0" xfId="0" applyNumberFormat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4" borderId="0" xfId="0" applyFill="1" applyBorder="1" applyAlignment="1">
      <alignment horizontal="left"/>
    </xf>
    <xf numFmtId="0" fontId="6" fillId="0" borderId="0" xfId="0" applyFont="1"/>
    <xf numFmtId="0" fontId="9" fillId="0" borderId="0" xfId="0" applyFont="1"/>
    <xf numFmtId="0" fontId="9" fillId="0" borderId="0" xfId="0" applyFont="1" applyAlignment="1">
      <alignment horizontal="right"/>
    </xf>
    <xf numFmtId="0" fontId="9" fillId="0" borderId="0" xfId="0" quotePrefix="1" applyFont="1" applyAlignment="1">
      <alignment horizontal="right"/>
    </xf>
    <xf numFmtId="0" fontId="9" fillId="0" borderId="0" xfId="0" applyFont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/>
    </xf>
    <xf numFmtId="11" fontId="6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0" xfId="0" applyAlignment="1">
      <alignment horizontal="center"/>
    </xf>
    <xf numFmtId="165" fontId="9" fillId="0" borderId="1" xfId="0" applyNumberFormat="1" applyFont="1" applyBorder="1" applyAlignment="1">
      <alignment horizontal="center"/>
    </xf>
    <xf numFmtId="0" fontId="0" fillId="4" borderId="0" xfId="0" applyFill="1" applyBorder="1" applyAlignment="1">
      <alignment horizontal="left" wrapText="1"/>
    </xf>
    <xf numFmtId="0" fontId="0" fillId="4" borderId="0" xfId="0" applyFill="1" applyBorder="1" applyAlignment="1">
      <alignment horizontal="left"/>
    </xf>
    <xf numFmtId="0" fontId="0" fillId="2" borderId="1" xfId="0" applyFill="1" applyBorder="1" applyAlignment="1" applyProtection="1">
      <alignment horizontal="center"/>
      <protection locked="0"/>
    </xf>
    <xf numFmtId="0" fontId="0" fillId="4" borderId="0" xfId="0" applyFill="1" applyAlignment="1">
      <alignment horizontal="left"/>
    </xf>
    <xf numFmtId="0" fontId="3" fillId="4" borderId="0" xfId="0" applyFont="1" applyFill="1" applyBorder="1" applyAlignment="1">
      <alignment horizontal="left"/>
    </xf>
    <xf numFmtId="0" fontId="4" fillId="4" borderId="0" xfId="1" applyFill="1" applyBorder="1" applyAlignment="1" applyProtection="1">
      <alignment horizontal="center"/>
      <protection locked="0"/>
    </xf>
    <xf numFmtId="0" fontId="4" fillId="0" borderId="0" xfId="1" applyAlignment="1" applyProtection="1">
      <alignment horizontal="left"/>
      <protection locked="0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0" xfId="1" applyAlignment="1" applyProtection="1">
      <protection locked="0"/>
    </xf>
    <xf numFmtId="0" fontId="4" fillId="0" borderId="17" xfId="1" applyBorder="1" applyAlignment="1" applyProtection="1">
      <alignment horizontal="left"/>
      <protection locked="0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porterbility.co.uk/Files/PDF/ISO-5167-2-2003.pdf" TargetMode="External"/><Relationship Id="rId1" Type="http://schemas.openxmlformats.org/officeDocument/2006/relationships/hyperlink" Target="http://www.porterbility.co.uk/Files/PDF/ISO-5167-1-2003.pdf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engineeringtoolbox.com/linear-expansion-coefficients-d_95.html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eacesoftware.de/einigewerte/luft_e.html" TargetMode="External"/><Relationship Id="rId2" Type="http://schemas.openxmlformats.org/officeDocument/2006/relationships/hyperlink" Target="http://www.peacesoftware.de/einigewerte/luft_e.html" TargetMode="External"/><Relationship Id="rId1" Type="http://schemas.openxmlformats.org/officeDocument/2006/relationships/hyperlink" Target="https://www.engineeringtoolbox.com/specific-heat-ratio-d_602.html" TargetMode="External"/><Relationship Id="rId4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8"/>
  <sheetViews>
    <sheetView tabSelected="1" workbookViewId="0">
      <selection activeCell="C11" sqref="C11:E11"/>
    </sheetView>
  </sheetViews>
  <sheetFormatPr defaultColWidth="0" defaultRowHeight="15" zeroHeight="1"/>
  <cols>
    <col min="1" max="1" width="9.140625" style="52" customWidth="1"/>
    <col min="2" max="2" width="2.85546875" style="52" customWidth="1"/>
    <col min="3" max="12" width="9.140625" style="52" customWidth="1"/>
    <col min="13" max="13" width="3.7109375" style="52" customWidth="1"/>
    <col min="14" max="14" width="2.85546875" style="52" customWidth="1"/>
    <col min="15" max="15" width="9.140625" style="52" customWidth="1"/>
    <col min="16" max="16384" width="9.140625" style="52" hidden="1"/>
  </cols>
  <sheetData>
    <row r="1" spans="2:14" ht="48" customHeight="1" thickBot="1"/>
    <row r="2" spans="2:14" ht="15" customHeight="1">
      <c r="B2" s="53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5"/>
    </row>
    <row r="3" spans="2:14">
      <c r="B3" s="56"/>
      <c r="C3" s="88" t="s">
        <v>152</v>
      </c>
      <c r="D3" s="88"/>
      <c r="E3" s="88"/>
      <c r="F3" s="88"/>
      <c r="G3" s="88"/>
      <c r="H3" s="88"/>
      <c r="I3" s="57"/>
      <c r="J3" s="57"/>
      <c r="K3" s="57"/>
      <c r="L3" s="57"/>
      <c r="M3" s="57"/>
      <c r="N3" s="58"/>
    </row>
    <row r="4" spans="2:14">
      <c r="B4" s="56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8"/>
    </row>
    <row r="5" spans="2:14" ht="21">
      <c r="B5" s="56"/>
      <c r="C5" s="91" t="s">
        <v>159</v>
      </c>
      <c r="D5" s="91"/>
      <c r="E5" s="91"/>
      <c r="F5" s="91"/>
      <c r="G5" s="91"/>
      <c r="H5" s="91"/>
      <c r="I5" s="57"/>
      <c r="J5" s="57"/>
      <c r="K5" s="57"/>
      <c r="L5" s="57"/>
      <c r="M5" s="57"/>
      <c r="N5" s="58"/>
    </row>
    <row r="6" spans="2:14">
      <c r="B6" s="56"/>
      <c r="K6" s="57"/>
      <c r="L6" s="57"/>
      <c r="M6" s="57"/>
      <c r="N6" s="58"/>
    </row>
    <row r="7" spans="2:14">
      <c r="B7" s="56"/>
      <c r="C7" s="90" t="s">
        <v>156</v>
      </c>
      <c r="D7" s="90"/>
      <c r="E7" s="90"/>
      <c r="F7" s="90"/>
      <c r="G7" s="90"/>
      <c r="H7" s="90"/>
      <c r="I7" s="90"/>
      <c r="J7" s="90"/>
      <c r="K7" s="57"/>
      <c r="L7" s="57"/>
      <c r="M7" s="57"/>
      <c r="N7" s="58"/>
    </row>
    <row r="8" spans="2:14">
      <c r="B8" s="56"/>
      <c r="C8" s="88" t="s">
        <v>153</v>
      </c>
      <c r="D8" s="88"/>
      <c r="E8" s="88"/>
      <c r="F8" s="88"/>
      <c r="G8" s="88"/>
      <c r="H8" s="88"/>
      <c r="K8" s="57"/>
      <c r="L8" s="57"/>
      <c r="M8" s="57"/>
      <c r="N8" s="58"/>
    </row>
    <row r="9" spans="2:14">
      <c r="B9" s="56"/>
      <c r="C9" s="90" t="s">
        <v>157</v>
      </c>
      <c r="D9" s="90"/>
      <c r="E9" s="90"/>
      <c r="F9" s="90"/>
      <c r="G9" s="90"/>
      <c r="H9" s="90"/>
      <c r="I9" s="90"/>
      <c r="J9" s="90"/>
      <c r="K9" s="90"/>
      <c r="L9" s="57"/>
      <c r="M9" s="57"/>
      <c r="N9" s="58"/>
    </row>
    <row r="10" spans="2:14">
      <c r="B10" s="56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8"/>
    </row>
    <row r="11" spans="2:14">
      <c r="B11" s="56"/>
      <c r="C11" s="89" t="s">
        <v>154</v>
      </c>
      <c r="D11" s="89"/>
      <c r="E11" s="89"/>
      <c r="F11" s="57"/>
      <c r="G11" s="92" t="s">
        <v>257</v>
      </c>
      <c r="H11" s="92"/>
      <c r="I11" s="92"/>
      <c r="J11" s="92" t="s">
        <v>258</v>
      </c>
      <c r="K11" s="92"/>
      <c r="L11" s="92"/>
      <c r="M11" s="57"/>
      <c r="N11" s="58"/>
    </row>
    <row r="12" spans="2:14">
      <c r="B12" s="56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8"/>
    </row>
    <row r="13" spans="2:14">
      <c r="B13" s="56"/>
      <c r="C13" s="88" t="s">
        <v>155</v>
      </c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58"/>
    </row>
    <row r="14" spans="2:14">
      <c r="B14" s="56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58"/>
    </row>
    <row r="15" spans="2:14" ht="15" customHeight="1">
      <c r="B15" s="56"/>
      <c r="C15" s="87" t="s">
        <v>256</v>
      </c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58"/>
    </row>
    <row r="16" spans="2:14">
      <c r="B16" s="56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58"/>
    </row>
    <row r="17" spans="2:14" ht="15.75" thickBot="1">
      <c r="B17" s="59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1"/>
    </row>
    <row r="18" spans="2:14" ht="48" customHeight="1"/>
  </sheetData>
  <sheetProtection sheet="1" objects="1" scenarios="1" selectLockedCells="1"/>
  <mergeCells count="10">
    <mergeCell ref="C15:M16"/>
    <mergeCell ref="C3:H3"/>
    <mergeCell ref="C8:H8"/>
    <mergeCell ref="C11:E11"/>
    <mergeCell ref="C13:M13"/>
    <mergeCell ref="C7:J7"/>
    <mergeCell ref="C9:K9"/>
    <mergeCell ref="C5:H5"/>
    <mergeCell ref="G11:I11"/>
    <mergeCell ref="J11:L11"/>
  </mergeCells>
  <hyperlinks>
    <hyperlink ref="G11:I11" r:id="rId1" display="Link to ISO 5167-1:2003(E)"/>
    <hyperlink ref="J11:L11" r:id="rId2" display="Link to ISO 5167-2:2003(E)"/>
  </hyperlinks>
  <pageMargins left="0.7" right="0.7" top="0.75" bottom="0.75" header="0.3" footer="0.3"/>
  <pageSetup paperSize="9" orientation="portrait" horizontalDpi="4294967293" verticalDpi="0" r:id="rId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1"/>
  <sheetViews>
    <sheetView workbookViewId="0">
      <selection activeCell="B1" sqref="B1"/>
    </sheetView>
  </sheetViews>
  <sheetFormatPr defaultRowHeight="15"/>
  <sheetData>
    <row r="1" spans="1:2">
      <c r="A1" s="1" t="s">
        <v>34</v>
      </c>
      <c r="B1" s="24">
        <v>1000000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23"/>
  <sheetViews>
    <sheetView workbookViewId="0">
      <selection activeCell="C14" sqref="C14"/>
    </sheetView>
  </sheetViews>
  <sheetFormatPr defaultRowHeight="15"/>
  <cols>
    <col min="1" max="1" width="19.42578125" customWidth="1"/>
    <col min="2" max="4" width="12.7109375" bestFit="1" customWidth="1"/>
  </cols>
  <sheetData>
    <row r="1" spans="1:4">
      <c r="B1" s="25" t="s">
        <v>87</v>
      </c>
      <c r="C1" s="25" t="s">
        <v>89</v>
      </c>
      <c r="D1" s="25" t="s">
        <v>88</v>
      </c>
    </row>
    <row r="2" spans="1:4">
      <c r="A2" s="1" t="s">
        <v>18</v>
      </c>
      <c r="B2" s="3">
        <f>'Dimensions and Readings'!H8</f>
        <v>38.645875400000001</v>
      </c>
      <c r="C2" s="3">
        <f>'Dimensions and Readings'!I8</f>
        <v>38.781763794444444</v>
      </c>
      <c r="D2" s="3">
        <f>'Dimensions and Readings'!J8</f>
        <v>38.90420559999999</v>
      </c>
    </row>
    <row r="3" spans="1:4">
      <c r="A3" s="1" t="s">
        <v>4</v>
      </c>
      <c r="B3" s="3">
        <f>'Dimensions and Readings'!H7</f>
        <v>64.202987199999995</v>
      </c>
      <c r="C3" s="3">
        <f>'Dimensions and Readings'!I7</f>
        <v>65.311519247222208</v>
      </c>
      <c r="D3" s="3">
        <f>'Dimensions and Readings'!J7</f>
        <v>66.348335199999994</v>
      </c>
    </row>
    <row r="4" spans="1:4">
      <c r="A4" s="1" t="s">
        <v>31</v>
      </c>
      <c r="B4" s="25">
        <f>B2/B3</f>
        <v>0.60193266832917713</v>
      </c>
      <c r="C4" s="25">
        <f>C2/C3</f>
        <v>0.59379668765083715</v>
      </c>
      <c r="D4" s="25">
        <f>D2/D3</f>
        <v>0.58636295067129274</v>
      </c>
    </row>
    <row r="5" spans="1:4">
      <c r="A5" s="1" t="s">
        <v>28</v>
      </c>
      <c r="B5" s="3">
        <f>'Dimensions and Readings'!H9</f>
        <v>63.482504799999994</v>
      </c>
      <c r="C5" s="3">
        <f>'Dimensions and Readings'!I9</f>
        <v>63.582677555555549</v>
      </c>
      <c r="D5" s="3">
        <f>'Dimensions and Readings'!J9</f>
        <v>63.736038399999998</v>
      </c>
    </row>
    <row r="6" spans="1:4">
      <c r="A6" s="1" t="s">
        <v>56</v>
      </c>
      <c r="B6" s="3">
        <f>'Dimensions and Readings'!H10</f>
        <v>33.412371300000004</v>
      </c>
      <c r="C6" s="3">
        <f>'Dimensions and Readings'!I10</f>
        <v>33.465971733333326</v>
      </c>
      <c r="D6" s="3">
        <f>'Dimensions and Readings'!J10</f>
        <v>33.499453600000002</v>
      </c>
    </row>
    <row r="7" spans="1:4">
      <c r="A7" s="1" t="s">
        <v>32</v>
      </c>
      <c r="B7" s="25">
        <f>B5/B3</f>
        <v>0.98877805486284287</v>
      </c>
      <c r="C7" s="25">
        <f>C5/C3</f>
        <v>0.97352929909465868</v>
      </c>
      <c r="D7" s="25">
        <f>D5/D3</f>
        <v>0.96062754563282549</v>
      </c>
    </row>
    <row r="8" spans="1:4">
      <c r="A8" s="1" t="s">
        <v>33</v>
      </c>
      <c r="B8" s="25">
        <f>B6/B3</f>
        <v>0.52041770573566093</v>
      </c>
      <c r="C8" s="25">
        <f>C6/C3</f>
        <v>0.51240534777112356</v>
      </c>
      <c r="D8" s="25">
        <f>D6/D3</f>
        <v>0.50490270025644901</v>
      </c>
    </row>
    <row r="9" spans="1:4">
      <c r="A9" s="1" t="s">
        <v>34</v>
      </c>
      <c r="B9" s="21">
        <f>'Re (1st iteration)'!$B$1</f>
        <v>1000000</v>
      </c>
      <c r="C9" s="21">
        <f>'Re (1st iteration)'!$B$1</f>
        <v>1000000</v>
      </c>
      <c r="D9" s="21">
        <f>'Re (1st iteration)'!$B$1</f>
        <v>1000000</v>
      </c>
    </row>
    <row r="10" spans="1:4">
      <c r="A10" s="1" t="s">
        <v>173</v>
      </c>
      <c r="B10" s="64">
        <f>(19000*B4/B9)^0.8</f>
        <v>2.7966699250039754E-2</v>
      </c>
      <c r="C10" s="64">
        <f>(19000*C4/C9)^0.8</f>
        <v>2.7663880333412126E-2</v>
      </c>
      <c r="D10" s="64">
        <f>(19000*D4/D9)^0.8</f>
        <v>2.7386472579856675E-2</v>
      </c>
    </row>
    <row r="11" spans="1:4">
      <c r="A11" s="1" t="s">
        <v>177</v>
      </c>
      <c r="B11" s="64">
        <f>'Dimensions and Readings'!H16</f>
        <v>2.4122313715982733</v>
      </c>
      <c r="C11" s="64">
        <f>'Dimensions and Readings'!I16</f>
        <v>2.5229008833422411</v>
      </c>
      <c r="D11" s="64">
        <f>'Dimensions and Readings'!J16</f>
        <v>2.6483056875750877</v>
      </c>
    </row>
    <row r="12" spans="1:4" ht="30" customHeight="1">
      <c r="A12" s="107" t="s">
        <v>176</v>
      </c>
      <c r="B12" s="107"/>
    </row>
    <row r="13" spans="1:4">
      <c r="A13" s="1" t="s">
        <v>36</v>
      </c>
      <c r="B13" s="85">
        <v>0.59609999999999996</v>
      </c>
      <c r="C13" s="25">
        <v>0.59609999999999996</v>
      </c>
      <c r="D13" s="85">
        <v>0.59609999999999996</v>
      </c>
    </row>
    <row r="14" spans="1:4">
      <c r="A14" s="1" t="s">
        <v>37</v>
      </c>
      <c r="B14" s="85">
        <f>0.0261*B4^2</f>
        <v>9.4566286609691526E-3</v>
      </c>
      <c r="C14" s="25">
        <f>0.0261*C4^2</f>
        <v>9.2027166135192628E-3</v>
      </c>
      <c r="D14" s="85">
        <f>0.0261*D4^2</f>
        <v>8.973741408910562E-3</v>
      </c>
    </row>
    <row r="15" spans="1:4">
      <c r="A15" s="1" t="s">
        <v>38</v>
      </c>
      <c r="B15" s="85">
        <f>-0.216*B4^8</f>
        <v>-3.7225202119084361E-3</v>
      </c>
      <c r="C15" s="25">
        <f>-0.216*C4^8</f>
        <v>-3.3385348682620913E-3</v>
      </c>
      <c r="D15" s="85">
        <f>-0.216*D4^8</f>
        <v>-3.0184634682708404E-3</v>
      </c>
    </row>
    <row r="16" spans="1:4">
      <c r="A16" s="1" t="s">
        <v>39</v>
      </c>
      <c r="B16" s="85">
        <f>0.000521*(1000000/B9)^0.7</f>
        <v>5.2099999999999998E-4</v>
      </c>
      <c r="C16" s="25">
        <f>0.000521*(1000000/C9)^0.7</f>
        <v>5.2099999999999998E-4</v>
      </c>
      <c r="D16" s="85">
        <f>0.000521*(1000000/D9)^0.7</f>
        <v>5.2099999999999998E-4</v>
      </c>
    </row>
    <row r="17" spans="1:4">
      <c r="A17" s="1" t="s">
        <v>40</v>
      </c>
      <c r="B17" s="85">
        <f>(0.0188+0.0063*B10)*(B4^3.5)*((1000000/B9)^0.3)</f>
        <v>3.2108995877247718E-3</v>
      </c>
      <c r="C17" s="25">
        <f>(0.0188+0.0063*C10)*(C4^3.5)*((1000000/C9)^0.3)</f>
        <v>3.0612412613972378E-3</v>
      </c>
      <c r="D17" s="85">
        <f>(0.0188+0.0063*D10)*(D4^3.5)*((1000000/D9)^0.3)</f>
        <v>2.9289245429650118E-3</v>
      </c>
    </row>
    <row r="18" spans="1:4">
      <c r="A18" s="1" t="s">
        <v>41</v>
      </c>
      <c r="B18" s="85">
        <f>(0.043+(0.08*EXP(-10*B7))-(0.123*EXP(-7*B7)))*(1-0.11*B10)*((B4^4)/(1-(B4^4)))</f>
        <v>6.4603371232006268E-3</v>
      </c>
      <c r="C18" s="25">
        <f>(0.043+(0.08*EXP(-10*C7))-(0.123*EXP(-7*C7)))*(1-0.11*C10)*((C4^4)/(1-(C4^4)))</f>
        <v>6.0678429090202405E-3</v>
      </c>
      <c r="D18" s="85">
        <f>(0.043+(0.08*EXP(-10*D7))-(0.123*EXP(-7*D7)))*(1-0.11*D10)*((D4^4)/(1-(D4^4)))</f>
        <v>5.7282290364107803E-3</v>
      </c>
    </row>
    <row r="19" spans="1:4">
      <c r="A19" s="1" t="s">
        <v>174</v>
      </c>
      <c r="B19" s="85">
        <f>-0.031*(B11-0.8*(B11^1.1))*(B4^1.3)</f>
        <v>-4.8843513425287539E-3</v>
      </c>
      <c r="C19" s="25">
        <f>-0.031*(C11-0.8*(C11^1.1))*(C4^1.3)</f>
        <v>-4.8628566453350654E-3</v>
      </c>
      <c r="D19" s="85">
        <f>-0.031*(D11-0.8*(D11^1.1))*(D4^1.3)</f>
        <v>-4.8466217499569912E-3</v>
      </c>
    </row>
    <row r="20" spans="1:4">
      <c r="A20" s="1" t="s">
        <v>175</v>
      </c>
      <c r="B20" s="73">
        <f>0.011*(0.75-B4)*(2.8-(B3/25.4))</f>
        <v>4.4354409105189745E-4</v>
      </c>
      <c r="C20">
        <f>0.011*(0.75-C4)*(2.8-(C3/25.4))</f>
        <v>3.9292690024813947E-4</v>
      </c>
      <c r="D20" s="73">
        <f>0.011*(0.75-D4)*(2.8-(D3/25.4))</f>
        <v>3.3815089097772514E-4</v>
      </c>
    </row>
    <row r="23" spans="1:4">
      <c r="A23" s="1" t="s">
        <v>35</v>
      </c>
      <c r="B23" s="25">
        <f>SUM(B13:B20)</f>
        <v>0.60758553790850922</v>
      </c>
      <c r="C23" s="13">
        <f>SUM(C13:C20)</f>
        <v>0.60714433617058783</v>
      </c>
      <c r="D23" s="25">
        <f>SUM(D13:D20)</f>
        <v>0.60672496066103632</v>
      </c>
    </row>
  </sheetData>
  <mergeCells count="1">
    <mergeCell ref="A12:B1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7"/>
  <sheetViews>
    <sheetView workbookViewId="0">
      <selection activeCell="C7" sqref="C7"/>
    </sheetView>
  </sheetViews>
  <sheetFormatPr defaultRowHeight="15"/>
  <cols>
    <col min="1" max="1" width="12.5703125" style="1" bestFit="1" customWidth="1"/>
  </cols>
  <sheetData>
    <row r="1" spans="1:5">
      <c r="B1" s="25" t="s">
        <v>87</v>
      </c>
      <c r="C1" s="25" t="s">
        <v>89</v>
      </c>
      <c r="D1" s="25" t="s">
        <v>88</v>
      </c>
    </row>
    <row r="2" spans="1:5">
      <c r="A2" s="1" t="s">
        <v>18</v>
      </c>
      <c r="B2" s="3">
        <f>'Dimensions and Readings'!H8</f>
        <v>38.645875400000001</v>
      </c>
      <c r="C2" s="3">
        <f>'Dimensions and Readings'!I8</f>
        <v>38.781763794444444</v>
      </c>
      <c r="D2" s="3">
        <f>'Dimensions and Readings'!J8</f>
        <v>38.90420559999999</v>
      </c>
    </row>
    <row r="3" spans="1:5">
      <c r="A3" s="1" t="s">
        <v>71</v>
      </c>
      <c r="B3" s="25">
        <f>'Dimensions and Readings'!B18</f>
        <v>1.2101720256570729</v>
      </c>
      <c r="C3" s="25">
        <f>'Dimensions and Readings'!C18</f>
        <v>1.2081154926385205</v>
      </c>
      <c r="D3" s="25">
        <f>'Dimensions and Readings'!D18</f>
        <v>1.2061908129508569</v>
      </c>
    </row>
    <row r="4" spans="1:5">
      <c r="A4" s="1" t="s">
        <v>46</v>
      </c>
      <c r="B4" s="21">
        <f>'Dimensions and Readings'!B20</f>
        <v>275</v>
      </c>
      <c r="C4" s="21">
        <f>'Dimensions and Readings'!C20</f>
        <v>275.66666666666669</v>
      </c>
      <c r="D4" s="21">
        <f>'Dimensions and Readings'!D20</f>
        <v>276</v>
      </c>
      <c r="E4" t="s">
        <v>45</v>
      </c>
    </row>
    <row r="5" spans="1:5">
      <c r="A5" s="1" t="s">
        <v>46</v>
      </c>
      <c r="B5" s="25">
        <f>B4*9.80638</f>
        <v>2696.7545</v>
      </c>
      <c r="C5" s="25">
        <f>C4*9.80638</f>
        <v>2703.2920866666673</v>
      </c>
      <c r="D5" s="25">
        <f>D4*9.80638</f>
        <v>2706.56088</v>
      </c>
      <c r="E5" t="s">
        <v>70</v>
      </c>
    </row>
    <row r="6" spans="1:5">
      <c r="B6" s="25"/>
      <c r="C6" s="25"/>
      <c r="D6" s="25"/>
    </row>
    <row r="7" spans="1:5">
      <c r="A7" s="1" t="s">
        <v>132</v>
      </c>
      <c r="B7" s="25">
        <f>'C (1st iteration)'!B23*'Dimensions and Readings'!H15*'Dimensions and Readings'!H14*(PI()/4)*((B2/1000)^2)*(2*B5*B3)^0.5</f>
        <v>6.1091603830649467E-2</v>
      </c>
      <c r="C7" s="13">
        <f>'C (1st iteration)'!C23*'Dimensions and Readings'!I15*'Dimensions and Readings'!I14*(PI()/4)*((C2/1000)^2)*(2*C5*C3)^0.5</f>
        <v>6.1820449635653113E-2</v>
      </c>
      <c r="D7" s="25">
        <f>'C (1st iteration)'!D23*'Dimensions and Readings'!J15*'Dimensions and Readings'!J14*(PI()/4)*((D2/1000)^2)*(2*D5*D3)^0.5</f>
        <v>6.2529786728807712E-2</v>
      </c>
      <c r="E7" t="s">
        <v>72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D6"/>
  <sheetViews>
    <sheetView workbookViewId="0">
      <selection activeCell="C6" sqref="C6"/>
    </sheetView>
  </sheetViews>
  <sheetFormatPr defaultRowHeight="15"/>
  <cols>
    <col min="1" max="1" width="22.140625" style="1" bestFit="1" customWidth="1"/>
  </cols>
  <sheetData>
    <row r="1" spans="1:4">
      <c r="B1" s="25" t="s">
        <v>87</v>
      </c>
      <c r="C1" s="25" t="s">
        <v>89</v>
      </c>
      <c r="D1" s="25" t="s">
        <v>88</v>
      </c>
    </row>
    <row r="2" spans="1:4">
      <c r="A2" s="1" t="s">
        <v>132</v>
      </c>
      <c r="B2" s="25">
        <f>'Mass Flow Rate (1st iteration)'!B7</f>
        <v>6.1091603830649467E-2</v>
      </c>
      <c r="C2" s="25">
        <f>'Mass Flow Rate (1st iteration)'!C7</f>
        <v>6.1820449635653113E-2</v>
      </c>
      <c r="D2" s="25">
        <f>'Mass Flow Rate (1st iteration)'!D7</f>
        <v>6.2529786728807712E-2</v>
      </c>
    </row>
    <row r="3" spans="1:4">
      <c r="A3" s="1" t="s">
        <v>4</v>
      </c>
      <c r="B3" s="3">
        <f>'Dimensions and Readings'!H7</f>
        <v>64.202987199999995</v>
      </c>
      <c r="C3" s="3">
        <f>'Dimensions and Readings'!I7</f>
        <v>65.311519247222208</v>
      </c>
      <c r="D3" s="3">
        <f>'Dimensions and Readings'!J7</f>
        <v>66.348335199999994</v>
      </c>
    </row>
    <row r="4" spans="1:4">
      <c r="A4" s="1" t="s">
        <v>62</v>
      </c>
      <c r="B4" s="33">
        <f>'Dimensions and Readings'!B25</f>
        <v>1.8120528E-5</v>
      </c>
      <c r="C4" s="33">
        <f>'Dimensions and Readings'!C25</f>
        <v>1.8120528E-5</v>
      </c>
      <c r="D4" s="33">
        <f>'Dimensions and Readings'!D25</f>
        <v>1.8120528E-5</v>
      </c>
    </row>
    <row r="5" spans="1:4">
      <c r="B5" s="25"/>
      <c r="C5" s="25"/>
      <c r="D5" s="25"/>
    </row>
    <row r="6" spans="1:4">
      <c r="A6" s="1" t="s">
        <v>73</v>
      </c>
      <c r="B6" s="21">
        <f>(4*B2)/(PI()*(B3/1000)*B4)</f>
        <v>66859.875284625508</v>
      </c>
      <c r="C6" s="14">
        <f>(4*C2)/(PI()*(C3/1000)*C4)</f>
        <v>66509.18771425703</v>
      </c>
      <c r="D6" s="21">
        <f>(4*D2)/(PI()*(D3/1000)*D4)</f>
        <v>66221.069094872058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D23"/>
  <sheetViews>
    <sheetView workbookViewId="0">
      <selection activeCell="C23" sqref="C23"/>
    </sheetView>
  </sheetViews>
  <sheetFormatPr defaultRowHeight="15"/>
  <cols>
    <col min="1" max="1" width="19.42578125" customWidth="1"/>
    <col min="2" max="4" width="12.7109375" style="25" bestFit="1" customWidth="1"/>
  </cols>
  <sheetData>
    <row r="1" spans="1:4">
      <c r="B1" s="64" t="s">
        <v>87</v>
      </c>
      <c r="C1" s="64" t="s">
        <v>89</v>
      </c>
      <c r="D1" s="64" t="s">
        <v>88</v>
      </c>
    </row>
    <row r="2" spans="1:4">
      <c r="A2" s="1" t="s">
        <v>18</v>
      </c>
      <c r="B2" s="3">
        <f>'Dimensions and Readings'!H8</f>
        <v>38.645875400000001</v>
      </c>
      <c r="C2" s="3">
        <f>'Dimensions and Readings'!I8</f>
        <v>38.781763794444444</v>
      </c>
      <c r="D2" s="3">
        <f>'Dimensions and Readings'!J8</f>
        <v>38.90420559999999</v>
      </c>
    </row>
    <row r="3" spans="1:4">
      <c r="A3" s="1" t="s">
        <v>4</v>
      </c>
      <c r="B3" s="3">
        <f>'Dimensions and Readings'!H7</f>
        <v>64.202987199999995</v>
      </c>
      <c r="C3" s="3">
        <f>'Dimensions and Readings'!I7</f>
        <v>65.311519247222208</v>
      </c>
      <c r="D3" s="3">
        <f>'Dimensions and Readings'!J7</f>
        <v>66.348335199999994</v>
      </c>
    </row>
    <row r="4" spans="1:4">
      <c r="A4" s="1" t="s">
        <v>31</v>
      </c>
      <c r="B4" s="64">
        <f>B2/B3</f>
        <v>0.60193266832917713</v>
      </c>
      <c r="C4" s="64">
        <f>C2/C3</f>
        <v>0.59379668765083715</v>
      </c>
      <c r="D4" s="64">
        <f>D2/D3</f>
        <v>0.58636295067129274</v>
      </c>
    </row>
    <row r="5" spans="1:4">
      <c r="A5" s="1" t="s">
        <v>28</v>
      </c>
      <c r="B5" s="3">
        <f>'Dimensions and Readings'!H9</f>
        <v>63.482504799999994</v>
      </c>
      <c r="C5" s="3">
        <f>'Dimensions and Readings'!I9</f>
        <v>63.582677555555549</v>
      </c>
      <c r="D5" s="3">
        <f>'Dimensions and Readings'!J9</f>
        <v>63.736038399999998</v>
      </c>
    </row>
    <row r="6" spans="1:4">
      <c r="A6" s="1" t="s">
        <v>56</v>
      </c>
      <c r="B6" s="3">
        <f>'Dimensions and Readings'!H10</f>
        <v>33.412371300000004</v>
      </c>
      <c r="C6" s="3">
        <f>'Dimensions and Readings'!I10</f>
        <v>33.465971733333326</v>
      </c>
      <c r="D6" s="3">
        <f>'Dimensions and Readings'!J10</f>
        <v>33.499453600000002</v>
      </c>
    </row>
    <row r="7" spans="1:4">
      <c r="A7" s="1" t="s">
        <v>32</v>
      </c>
      <c r="B7" s="64">
        <f>B5/B3</f>
        <v>0.98877805486284287</v>
      </c>
      <c r="C7" s="64">
        <f>C5/C3</f>
        <v>0.97352929909465868</v>
      </c>
      <c r="D7" s="64">
        <f>D5/D3</f>
        <v>0.96062754563282549</v>
      </c>
    </row>
    <row r="8" spans="1:4">
      <c r="A8" s="1" t="s">
        <v>33</v>
      </c>
      <c r="B8" s="64">
        <f>B6/B3</f>
        <v>0.52041770573566093</v>
      </c>
      <c r="C8" s="64">
        <f>C6/C3</f>
        <v>0.51240534777112356</v>
      </c>
      <c r="D8" s="64">
        <f>D6/D3</f>
        <v>0.50490270025644901</v>
      </c>
    </row>
    <row r="9" spans="1:4">
      <c r="A9" s="1" t="s">
        <v>73</v>
      </c>
      <c r="B9" s="21">
        <f>'Re (2nd iteration)'!B6</f>
        <v>66859.875284625508</v>
      </c>
      <c r="C9" s="21">
        <f>'Re (2nd iteration)'!C6</f>
        <v>66509.18771425703</v>
      </c>
      <c r="D9" s="21">
        <f>'Re (2nd iteration)'!D6</f>
        <v>66221.069094872058</v>
      </c>
    </row>
    <row r="10" spans="1:4">
      <c r="A10" s="1" t="s">
        <v>173</v>
      </c>
      <c r="B10" s="64">
        <f>(19000*B4/B9)^0.8</f>
        <v>0.24350549293766008</v>
      </c>
      <c r="C10" s="64">
        <f>(19000*C4/C9)^0.8</f>
        <v>0.24188435668719924</v>
      </c>
      <c r="D10" s="64">
        <f>(19000*D4/D9)^0.8</f>
        <v>0.24029190904226211</v>
      </c>
    </row>
    <row r="11" spans="1:4">
      <c r="A11" s="1" t="s">
        <v>177</v>
      </c>
      <c r="B11" s="64">
        <f>'Dimensions and Readings'!H16</f>
        <v>2.4122313715982733</v>
      </c>
      <c r="C11" s="64">
        <f>'Dimensions and Readings'!I16</f>
        <v>2.5229008833422411</v>
      </c>
      <c r="D11" s="64">
        <f>'Dimensions and Readings'!J16</f>
        <v>2.6483056875750877</v>
      </c>
    </row>
    <row r="12" spans="1:4">
      <c r="A12" s="107" t="s">
        <v>176</v>
      </c>
      <c r="B12" s="107"/>
      <c r="C12"/>
      <c r="D12"/>
    </row>
    <row r="13" spans="1:4">
      <c r="A13" s="1" t="s">
        <v>36</v>
      </c>
      <c r="B13" s="85">
        <v>0.59609999999999996</v>
      </c>
      <c r="C13" s="64">
        <v>0.59609999999999996</v>
      </c>
      <c r="D13" s="85">
        <v>0.59609999999999996</v>
      </c>
    </row>
    <row r="14" spans="1:4">
      <c r="A14" s="1" t="s">
        <v>37</v>
      </c>
      <c r="B14" s="85">
        <f>0.0261*B4^2</f>
        <v>9.4566286609691526E-3</v>
      </c>
      <c r="C14" s="64">
        <f>0.0261*C4^2</f>
        <v>9.2027166135192628E-3</v>
      </c>
      <c r="D14" s="85">
        <f>0.0261*D4^2</f>
        <v>8.973741408910562E-3</v>
      </c>
    </row>
    <row r="15" spans="1:4">
      <c r="A15" s="1" t="s">
        <v>38</v>
      </c>
      <c r="B15" s="85">
        <f>-0.216*B4^8</f>
        <v>-3.7225202119084361E-3</v>
      </c>
      <c r="C15" s="64">
        <f>-0.216*C4^8</f>
        <v>-3.3385348682620913E-3</v>
      </c>
      <c r="D15" s="85">
        <f>-0.216*D4^8</f>
        <v>-3.0184634682708404E-3</v>
      </c>
    </row>
    <row r="16" spans="1:4">
      <c r="A16" s="1" t="s">
        <v>39</v>
      </c>
      <c r="B16" s="85">
        <f>0.000521*(1000000/B9)^0.7</f>
        <v>3.461161225570259E-3</v>
      </c>
      <c r="C16" s="64">
        <f>0.000521*(1000000/C9)^0.7</f>
        <v>3.4739260767597401E-3</v>
      </c>
      <c r="D16" s="85">
        <f>0.000521*(1000000/D9)^0.7</f>
        <v>3.4844993816959221E-3</v>
      </c>
    </row>
    <row r="17" spans="1:4">
      <c r="A17" s="1" t="s">
        <v>40</v>
      </c>
      <c r="B17" s="85">
        <f>(0.0188+0.0063*B10)*(B4^3.5)*((1000000/B9)^0.3)</f>
        <v>7.7462704763219085E-3</v>
      </c>
      <c r="C17" s="64">
        <f>(0.0188+0.0063*C10)*(C4^3.5)*((1000000/C9)^0.3)</f>
        <v>7.3939097185158091E-3</v>
      </c>
      <c r="D17" s="85">
        <f>(0.0188+0.0063*D10)*(D4^3.5)*((1000000/D9)^0.3)</f>
        <v>7.0806964400258205E-3</v>
      </c>
    </row>
    <row r="18" spans="1:4">
      <c r="A18" s="1" t="s">
        <v>41</v>
      </c>
      <c r="B18" s="85">
        <f>(0.043+(0.08*EXP(-10*B7))-(0.123*EXP(-7*B7)))*(1-0.11*B10)*((B4^4)/(1-(B4^4)))</f>
        <v>6.3066946073184185E-3</v>
      </c>
      <c r="C18" s="64">
        <f>(0.043+(0.08*EXP(-10*C7))-(0.123*EXP(-7*C7)))*(1-0.11*C10)*((C4^4)/(1-(C4^4)))</f>
        <v>5.924422294415939E-3</v>
      </c>
      <c r="D18" s="85">
        <f>(0.043+(0.08*EXP(-10*D7))-(0.123*EXP(-7*D7)))*(1-0.11*D10)*((D4^4)/(1-(D4^4)))</f>
        <v>5.5936708569356928E-3</v>
      </c>
    </row>
    <row r="19" spans="1:4">
      <c r="A19" s="1" t="s">
        <v>174</v>
      </c>
      <c r="B19" s="85">
        <f>-0.031*(B11-0.8*(B11^1.1))*(B4^1.3)</f>
        <v>-4.8843513425287539E-3</v>
      </c>
      <c r="C19" s="64">
        <f>-0.031*(C11-0.8*(C11^1.1))*(C4^1.3)</f>
        <v>-4.8628566453350654E-3</v>
      </c>
      <c r="D19" s="85">
        <f>-0.031*(D11-0.8*(D11^1.1))*(D4^1.3)</f>
        <v>-4.8466217499569912E-3</v>
      </c>
    </row>
    <row r="20" spans="1:4">
      <c r="A20" s="1" t="s">
        <v>175</v>
      </c>
      <c r="B20" s="73">
        <f>0.011*(0.75-B4)*(2.8-(B3/25.4))</f>
        <v>4.4354409105189745E-4</v>
      </c>
      <c r="C20">
        <f>0.011*(0.75-C4)*(2.8-(C3/25.4))</f>
        <v>3.9292690024813947E-4</v>
      </c>
      <c r="D20" s="73">
        <f>0.011*(0.75-D4)*(2.8-(D3/25.4))</f>
        <v>3.3815089097772514E-4</v>
      </c>
    </row>
    <row r="23" spans="1:4">
      <c r="A23" s="1" t="s">
        <v>133</v>
      </c>
      <c r="B23" s="25">
        <f>SUM(B13:B20)</f>
        <v>0.61490742750679439</v>
      </c>
      <c r="C23" s="13">
        <f>SUM(C13:C20)</f>
        <v>0.61428651008986179</v>
      </c>
      <c r="D23" s="25">
        <f>SUM(D13:D20)</f>
        <v>0.61370567376031804</v>
      </c>
    </row>
  </sheetData>
  <mergeCells count="1">
    <mergeCell ref="A12:B1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E7"/>
  <sheetViews>
    <sheetView workbookViewId="0">
      <selection activeCell="C7" sqref="C7"/>
    </sheetView>
  </sheetViews>
  <sheetFormatPr defaultRowHeight="15"/>
  <cols>
    <col min="1" max="1" width="12.5703125" style="1" bestFit="1" customWidth="1"/>
  </cols>
  <sheetData>
    <row r="1" spans="1:5">
      <c r="B1" s="25" t="s">
        <v>87</v>
      </c>
      <c r="C1" s="25" t="s">
        <v>89</v>
      </c>
      <c r="D1" s="25" t="s">
        <v>88</v>
      </c>
    </row>
    <row r="2" spans="1:5">
      <c r="A2" s="1" t="s">
        <v>18</v>
      </c>
      <c r="B2" s="3">
        <f>'Dimensions and Readings'!H8</f>
        <v>38.645875400000001</v>
      </c>
      <c r="C2" s="3">
        <f>'Dimensions and Readings'!I8</f>
        <v>38.781763794444444</v>
      </c>
      <c r="D2" s="3">
        <f>'Dimensions and Readings'!J8</f>
        <v>38.90420559999999</v>
      </c>
    </row>
    <row r="3" spans="1:5">
      <c r="A3" s="1" t="s">
        <v>71</v>
      </c>
      <c r="B3" s="25">
        <f>'Dimensions and Readings'!B18</f>
        <v>1.2101720256570729</v>
      </c>
      <c r="C3" s="25">
        <f>'Dimensions and Readings'!C18</f>
        <v>1.2081154926385205</v>
      </c>
      <c r="D3" s="25">
        <f>'Dimensions and Readings'!D18</f>
        <v>1.2061908129508569</v>
      </c>
    </row>
    <row r="4" spans="1:5">
      <c r="A4" s="1" t="s">
        <v>46</v>
      </c>
      <c r="B4" s="21">
        <f>'Dimensions and Readings'!B20</f>
        <v>275</v>
      </c>
      <c r="C4" s="21">
        <f>'Dimensions and Readings'!C20</f>
        <v>275.66666666666669</v>
      </c>
      <c r="D4" s="21">
        <f>'Dimensions and Readings'!D20</f>
        <v>276</v>
      </c>
      <c r="E4" t="s">
        <v>45</v>
      </c>
    </row>
    <row r="5" spans="1:5">
      <c r="A5" s="1" t="s">
        <v>46</v>
      </c>
      <c r="B5" s="25">
        <f>B4*9.80638</f>
        <v>2696.7545</v>
      </c>
      <c r="C5" s="25">
        <f>C4*9.80638</f>
        <v>2703.2920866666673</v>
      </c>
      <c r="D5" s="25">
        <f>D4*9.80638</f>
        <v>2706.56088</v>
      </c>
      <c r="E5" t="s">
        <v>70</v>
      </c>
    </row>
    <row r="6" spans="1:5">
      <c r="B6" s="25"/>
      <c r="C6" s="25"/>
      <c r="D6" s="25"/>
    </row>
    <row r="7" spans="1:5">
      <c r="A7" s="1" t="s">
        <v>134</v>
      </c>
      <c r="B7" s="25">
        <f>'C (2nd iteration)'!B23*'Dimensions and Readings'!H15*'Dimensions and Readings'!H14*(PI()/4)*((B2/1000)^2)*(2*B5*B3)^0.5</f>
        <v>6.1827806308690586E-2</v>
      </c>
      <c r="C7" s="13">
        <f>'C (2nd iteration)'!C23*'Dimensions and Readings'!I15*'Dimensions and Readings'!I14*(PI()/4)*((C2/1000)^2)*(2*C5*C3)^0.5</f>
        <v>6.2547677704435589E-2</v>
      </c>
      <c r="D7" s="25">
        <f>'C (2nd iteration)'!D23*'Dimensions and Readings'!J15*'Dimensions and Readings'!J14*(PI()/4)*((D2/1000)^2)*(2*D5*D3)^0.5</f>
        <v>6.3249227216038539E-2</v>
      </c>
      <c r="E7" t="s">
        <v>72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D6"/>
  <sheetViews>
    <sheetView workbookViewId="0">
      <selection activeCell="C6" sqref="C6"/>
    </sheetView>
  </sheetViews>
  <sheetFormatPr defaultRowHeight="15"/>
  <cols>
    <col min="1" max="1" width="22.140625" style="1" bestFit="1" customWidth="1"/>
  </cols>
  <sheetData>
    <row r="1" spans="1:4">
      <c r="B1" s="25" t="s">
        <v>87</v>
      </c>
      <c r="C1" s="25" t="s">
        <v>89</v>
      </c>
      <c r="D1" s="25" t="s">
        <v>88</v>
      </c>
    </row>
    <row r="2" spans="1:4">
      <c r="A2" s="1" t="s">
        <v>134</v>
      </c>
      <c r="B2" s="25">
        <f>'Mass Flow Rate (2nd iteration)'!B7</f>
        <v>6.1827806308690586E-2</v>
      </c>
      <c r="C2" s="25">
        <f>'Mass Flow Rate (2nd iteration)'!C7</f>
        <v>6.2547677704435589E-2</v>
      </c>
      <c r="D2" s="25">
        <f>'Mass Flow Rate (2nd iteration)'!D7</f>
        <v>6.3249227216038539E-2</v>
      </c>
    </row>
    <row r="3" spans="1:4">
      <c r="A3" s="1" t="s">
        <v>4</v>
      </c>
      <c r="B3" s="3">
        <f>'Dimensions and Readings'!H7</f>
        <v>64.202987199999995</v>
      </c>
      <c r="C3" s="3">
        <f>'Dimensions and Readings'!I7</f>
        <v>65.311519247222208</v>
      </c>
      <c r="D3" s="3">
        <f>'Dimensions and Readings'!J7</f>
        <v>66.348335199999994</v>
      </c>
    </row>
    <row r="4" spans="1:4">
      <c r="A4" s="1" t="s">
        <v>62</v>
      </c>
      <c r="B4" s="33">
        <f>'Dimensions and Readings'!B25</f>
        <v>1.8120528E-5</v>
      </c>
      <c r="C4" s="33">
        <f>'Dimensions and Readings'!C25</f>
        <v>1.8120528E-5</v>
      </c>
      <c r="D4" s="33">
        <f>'Dimensions and Readings'!D25</f>
        <v>1.8120528E-5</v>
      </c>
    </row>
    <row r="5" spans="1:4">
      <c r="B5" s="25"/>
      <c r="C5" s="25"/>
      <c r="D5" s="25"/>
    </row>
    <row r="6" spans="1:4">
      <c r="A6" s="1" t="s">
        <v>74</v>
      </c>
      <c r="B6" s="21">
        <f>(4*B2)/(PI()*(B3/1000)*B4)</f>
        <v>67665.590027399492</v>
      </c>
      <c r="C6" s="14">
        <f>(4*C2)/(PI()*(C3/1000)*C4)</f>
        <v>67291.571996849438</v>
      </c>
      <c r="D6" s="21">
        <f>(4*D2)/(PI()*(D3/1000)*D4)</f>
        <v>66982.979869031347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D23"/>
  <sheetViews>
    <sheetView workbookViewId="0">
      <selection activeCell="C23" sqref="C23"/>
    </sheetView>
  </sheetViews>
  <sheetFormatPr defaultRowHeight="15"/>
  <cols>
    <col min="1" max="1" width="19.42578125" customWidth="1"/>
    <col min="2" max="4" width="12.7109375" style="25" bestFit="1" customWidth="1"/>
  </cols>
  <sheetData>
    <row r="1" spans="1:4">
      <c r="B1" s="64" t="s">
        <v>87</v>
      </c>
      <c r="C1" s="64" t="s">
        <v>89</v>
      </c>
      <c r="D1" s="64" t="s">
        <v>88</v>
      </c>
    </row>
    <row r="2" spans="1:4">
      <c r="A2" s="1" t="s">
        <v>18</v>
      </c>
      <c r="B2" s="3">
        <f>'Dimensions and Readings'!H8</f>
        <v>38.645875400000001</v>
      </c>
      <c r="C2" s="3">
        <f>'Dimensions and Readings'!I8</f>
        <v>38.781763794444444</v>
      </c>
      <c r="D2" s="3">
        <f>'Dimensions and Readings'!J8</f>
        <v>38.90420559999999</v>
      </c>
    </row>
    <row r="3" spans="1:4">
      <c r="A3" s="1" t="s">
        <v>4</v>
      </c>
      <c r="B3" s="3">
        <f>'Dimensions and Readings'!H7</f>
        <v>64.202987199999995</v>
      </c>
      <c r="C3" s="3">
        <f>'Dimensions and Readings'!I7</f>
        <v>65.311519247222208</v>
      </c>
      <c r="D3" s="3">
        <f>'Dimensions and Readings'!J7</f>
        <v>66.348335199999994</v>
      </c>
    </row>
    <row r="4" spans="1:4">
      <c r="A4" s="1" t="s">
        <v>31</v>
      </c>
      <c r="B4" s="64">
        <f>B2/B3</f>
        <v>0.60193266832917713</v>
      </c>
      <c r="C4" s="64">
        <f>C2/C3</f>
        <v>0.59379668765083715</v>
      </c>
      <c r="D4" s="64">
        <f>D2/D3</f>
        <v>0.58636295067129274</v>
      </c>
    </row>
    <row r="5" spans="1:4">
      <c r="A5" s="1" t="s">
        <v>28</v>
      </c>
      <c r="B5" s="3">
        <f>'Dimensions and Readings'!H9</f>
        <v>63.482504799999994</v>
      </c>
      <c r="C5" s="3">
        <f>'Dimensions and Readings'!I9</f>
        <v>63.582677555555549</v>
      </c>
      <c r="D5" s="3">
        <f>'Dimensions and Readings'!J9</f>
        <v>63.736038399999998</v>
      </c>
    </row>
    <row r="6" spans="1:4">
      <c r="A6" s="1" t="s">
        <v>56</v>
      </c>
      <c r="B6" s="3">
        <f>'Dimensions and Readings'!H10</f>
        <v>33.412371300000004</v>
      </c>
      <c r="C6" s="3">
        <f>'Dimensions and Readings'!I10</f>
        <v>33.465971733333326</v>
      </c>
      <c r="D6" s="3">
        <f>'Dimensions and Readings'!J10</f>
        <v>33.499453600000002</v>
      </c>
    </row>
    <row r="7" spans="1:4">
      <c r="A7" s="1" t="s">
        <v>32</v>
      </c>
      <c r="B7" s="64">
        <f>B5/B3</f>
        <v>0.98877805486284287</v>
      </c>
      <c r="C7" s="64">
        <f>C5/C3</f>
        <v>0.97352929909465868</v>
      </c>
      <c r="D7" s="64">
        <f>D5/D3</f>
        <v>0.96062754563282549</v>
      </c>
    </row>
    <row r="8" spans="1:4">
      <c r="A8" s="1" t="s">
        <v>33</v>
      </c>
      <c r="B8" s="64">
        <f>B6/B3</f>
        <v>0.52041770573566093</v>
      </c>
      <c r="C8" s="64">
        <f>C6/C3</f>
        <v>0.51240534777112356</v>
      </c>
      <c r="D8" s="64">
        <f>D6/D3</f>
        <v>0.50490270025644901</v>
      </c>
    </row>
    <row r="9" spans="1:4">
      <c r="A9" s="1" t="s">
        <v>74</v>
      </c>
      <c r="B9" s="21">
        <f>'Re (3rd iteration)'!B6</f>
        <v>67665.590027399492</v>
      </c>
      <c r="C9" s="21">
        <f>'Re (3rd iteration)'!C6</f>
        <v>67291.571996849438</v>
      </c>
      <c r="D9" s="21">
        <f>'Re (3rd iteration)'!D6</f>
        <v>66982.979869031347</v>
      </c>
    </row>
    <row r="10" spans="1:4">
      <c r="A10" s="1" t="s">
        <v>173</v>
      </c>
      <c r="B10" s="64">
        <f>(19000*B4/B9)^0.8</f>
        <v>0.24118312256222782</v>
      </c>
      <c r="C10" s="64">
        <f>(19000*C4/C9)^0.8</f>
        <v>0.23963185966964162</v>
      </c>
      <c r="D10" s="64">
        <f>(19000*D4/D9)^0.8</f>
        <v>0.23810281327764657</v>
      </c>
    </row>
    <row r="11" spans="1:4">
      <c r="A11" s="1" t="s">
        <v>177</v>
      </c>
      <c r="B11" s="64">
        <f>'Dimensions and Readings'!H16</f>
        <v>2.4122313715982733</v>
      </c>
      <c r="C11" s="64">
        <f>'Dimensions and Readings'!I16</f>
        <v>2.5229008833422411</v>
      </c>
      <c r="D11" s="64">
        <f>'Dimensions and Readings'!J16</f>
        <v>2.6483056875750877</v>
      </c>
    </row>
    <row r="12" spans="1:4">
      <c r="A12" s="107" t="s">
        <v>176</v>
      </c>
      <c r="B12" s="107"/>
      <c r="C12"/>
      <c r="D12"/>
    </row>
    <row r="13" spans="1:4">
      <c r="A13" s="1" t="s">
        <v>36</v>
      </c>
      <c r="B13" s="85">
        <v>0.59609999999999996</v>
      </c>
      <c r="C13" s="64">
        <v>0.59609999999999996</v>
      </c>
      <c r="D13" s="85">
        <v>0.59609999999999996</v>
      </c>
    </row>
    <row r="14" spans="1:4">
      <c r="A14" s="1" t="s">
        <v>37</v>
      </c>
      <c r="B14" s="85">
        <f>0.0261*B4^2</f>
        <v>9.4566286609691526E-3</v>
      </c>
      <c r="C14" s="64">
        <f>0.0261*C4^2</f>
        <v>9.2027166135192628E-3</v>
      </c>
      <c r="D14" s="85">
        <f>0.0261*D4^2</f>
        <v>8.973741408910562E-3</v>
      </c>
    </row>
    <row r="15" spans="1:4">
      <c r="A15" s="1" t="s">
        <v>38</v>
      </c>
      <c r="B15" s="85">
        <f>-0.216*B4^8</f>
        <v>-3.7225202119084361E-3</v>
      </c>
      <c r="C15" s="64">
        <f>-0.216*C4^8</f>
        <v>-3.3385348682620913E-3</v>
      </c>
      <c r="D15" s="85">
        <f>-0.216*D4^8</f>
        <v>-3.0184634682708404E-3</v>
      </c>
    </row>
    <row r="16" spans="1:4">
      <c r="A16" s="1" t="s">
        <v>39</v>
      </c>
      <c r="B16" s="85">
        <f>0.000521*(1000000/B9)^0.7</f>
        <v>3.432260261542806E-3</v>
      </c>
      <c r="C16" s="64">
        <f>0.000521*(1000000/C9)^0.7</f>
        <v>3.4456031161540245E-3</v>
      </c>
      <c r="D16" s="85">
        <f>0.000521*(1000000/D9)^0.7</f>
        <v>3.4567072335346589E-3</v>
      </c>
    </row>
    <row r="17" spans="1:4">
      <c r="A17" s="1" t="s">
        <v>40</v>
      </c>
      <c r="B17" s="85">
        <f>(0.0188+0.0063*B10)*(B4^3.5)*((1000000/B9)^0.3)</f>
        <v>7.7129295507741748E-3</v>
      </c>
      <c r="C17" s="64">
        <f>(0.0188+0.0063*C10)*(C4^3.5)*((1000000/C9)^0.3)</f>
        <v>7.3628692974944407E-3</v>
      </c>
      <c r="D17" s="85">
        <f>(0.0188+0.0063*D10)*(D4^3.5)*((1000000/D9)^0.3)</f>
        <v>7.0516467012977768E-3</v>
      </c>
    </row>
    <row r="18" spans="1:4">
      <c r="A18" s="1" t="s">
        <v>41</v>
      </c>
      <c r="B18" s="85">
        <f>(0.043+(0.08*EXP(-10*B7))-(0.123*EXP(-7*B7)))*(1-0.11*B10)*((B4^4)/(1-(B4^4)))</f>
        <v>6.30835006256704E-3</v>
      </c>
      <c r="C18" s="64">
        <f>(0.043+(0.08*EXP(-10*C7))-(0.123*EXP(-7*C7)))*(1-0.11*C10)*((C4^4)/(1-(C4^4)))</f>
        <v>5.9259303412289759E-3</v>
      </c>
      <c r="D18" s="85">
        <f>(0.043+(0.08*EXP(-10*D7))-(0.123*EXP(-7*D7)))*(1-0.11*D10)*((D4^4)/(1-(D4^4)))</f>
        <v>5.5950543854433607E-3</v>
      </c>
    </row>
    <row r="19" spans="1:4">
      <c r="A19" s="1" t="s">
        <v>174</v>
      </c>
      <c r="B19" s="85">
        <f>-0.031*(B11-0.8*(B11^1.1))*(B4^1.3)</f>
        <v>-4.8843513425287539E-3</v>
      </c>
      <c r="C19" s="64">
        <f>-0.031*(C11-0.8*(C11^1.1))*(C4^1.3)</f>
        <v>-4.8628566453350654E-3</v>
      </c>
      <c r="D19" s="85">
        <f>-0.031*(D11-0.8*(D11^1.1))*(D4^1.3)</f>
        <v>-4.8466217499569912E-3</v>
      </c>
    </row>
    <row r="20" spans="1:4">
      <c r="A20" s="1" t="s">
        <v>175</v>
      </c>
      <c r="B20" s="73">
        <f>0.011*(0.75-B4)*(2.8-(B3/25.4))</f>
        <v>4.4354409105189745E-4</v>
      </c>
      <c r="C20">
        <f>0.011*(0.75-C4)*(2.8-(C3/25.4))</f>
        <v>3.9292690024813947E-4</v>
      </c>
      <c r="D20" s="73">
        <f>0.011*(0.75-D4)*(2.8-(D3/25.4))</f>
        <v>3.3815089097772514E-4</v>
      </c>
    </row>
    <row r="23" spans="1:4">
      <c r="A23" s="1" t="s">
        <v>137</v>
      </c>
      <c r="B23" s="25">
        <f>SUM(B13:B20)</f>
        <v>0.61484684107246779</v>
      </c>
      <c r="C23" s="13">
        <f>SUM(C13:C20)</f>
        <v>0.61422865475504773</v>
      </c>
      <c r="D23" s="25">
        <f>SUM(D13:D20)</f>
        <v>0.61365021540193632</v>
      </c>
    </row>
  </sheetData>
  <mergeCells count="1">
    <mergeCell ref="A12:B1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E7"/>
  <sheetViews>
    <sheetView workbookViewId="0">
      <selection activeCell="C7" sqref="C7"/>
    </sheetView>
  </sheetViews>
  <sheetFormatPr defaultRowHeight="15"/>
  <cols>
    <col min="1" max="1" width="12.5703125" style="1" bestFit="1" customWidth="1"/>
  </cols>
  <sheetData>
    <row r="1" spans="1:5">
      <c r="B1" s="25" t="s">
        <v>87</v>
      </c>
      <c r="C1" s="25" t="s">
        <v>89</v>
      </c>
      <c r="D1" s="25" t="s">
        <v>88</v>
      </c>
    </row>
    <row r="2" spans="1:5">
      <c r="A2" s="1" t="s">
        <v>18</v>
      </c>
      <c r="B2" s="3">
        <f>'Dimensions and Readings'!H8</f>
        <v>38.645875400000001</v>
      </c>
      <c r="C2" s="3">
        <f>'Dimensions and Readings'!I8</f>
        <v>38.781763794444444</v>
      </c>
      <c r="D2" s="3">
        <f>'Dimensions and Readings'!J8</f>
        <v>38.90420559999999</v>
      </c>
    </row>
    <row r="3" spans="1:5">
      <c r="A3" s="1" t="s">
        <v>71</v>
      </c>
      <c r="B3" s="25">
        <f>'Dimensions and Readings'!B18</f>
        <v>1.2101720256570729</v>
      </c>
      <c r="C3" s="25">
        <f>'Dimensions and Readings'!C18</f>
        <v>1.2081154926385205</v>
      </c>
      <c r="D3" s="25">
        <f>'Dimensions and Readings'!D18</f>
        <v>1.2061908129508569</v>
      </c>
    </row>
    <row r="4" spans="1:5">
      <c r="A4" s="1" t="s">
        <v>46</v>
      </c>
      <c r="B4" s="21">
        <f>'Dimensions and Readings'!B20</f>
        <v>275</v>
      </c>
      <c r="C4" s="21">
        <f>'Dimensions and Readings'!C20</f>
        <v>275.66666666666669</v>
      </c>
      <c r="D4" s="21">
        <f>'Dimensions and Readings'!D20</f>
        <v>276</v>
      </c>
      <c r="E4" t="s">
        <v>45</v>
      </c>
    </row>
    <row r="5" spans="1:5">
      <c r="A5" s="1" t="s">
        <v>46</v>
      </c>
      <c r="B5" s="25">
        <f>B4*9.80638</f>
        <v>2696.7545</v>
      </c>
      <c r="C5" s="25">
        <f>C4*9.80638</f>
        <v>2703.2920866666673</v>
      </c>
      <c r="D5" s="25">
        <f>D4*9.80638</f>
        <v>2706.56088</v>
      </c>
      <c r="E5" t="s">
        <v>70</v>
      </c>
    </row>
    <row r="6" spans="1:5">
      <c r="B6" s="25"/>
      <c r="C6" s="25"/>
      <c r="D6" s="25"/>
    </row>
    <row r="7" spans="1:5">
      <c r="A7" s="1" t="s">
        <v>135</v>
      </c>
      <c r="B7" s="25">
        <f>'C (3rd iteration)'!B23*'Dimensions and Readings'!H15*'Dimensions and Readings'!H14*(PI()/4)*((B2/1000)^2)*(2*B5*B3)^0.5</f>
        <v>6.1821714454601787E-2</v>
      </c>
      <c r="C7" s="13">
        <f>'C (3rd iteration)'!C23*'Dimensions and Readings'!I15*'Dimensions and Readings'!I14*(PI()/4)*((C2/1000)^2)*(2*C5*C3)^0.5</f>
        <v>6.2541786777683989E-2</v>
      </c>
      <c r="D7" s="25">
        <f>'C (3rd iteration)'!D23*'Dimensions and Readings'!J15*'Dimensions and Readings'!J14*(PI()/4)*((D2/1000)^2)*(2*D5*D3)^0.5</f>
        <v>6.3243511612516706E-2</v>
      </c>
      <c r="E7" t="s">
        <v>72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D6"/>
  <sheetViews>
    <sheetView workbookViewId="0">
      <selection activeCell="C6" sqref="C6"/>
    </sheetView>
  </sheetViews>
  <sheetFormatPr defaultRowHeight="15"/>
  <cols>
    <col min="1" max="1" width="22.140625" style="1" bestFit="1" customWidth="1"/>
  </cols>
  <sheetData>
    <row r="1" spans="1:4">
      <c r="B1" s="25" t="s">
        <v>87</v>
      </c>
      <c r="C1" s="25" t="s">
        <v>89</v>
      </c>
      <c r="D1" s="25" t="s">
        <v>88</v>
      </c>
    </row>
    <row r="2" spans="1:4">
      <c r="A2" s="1" t="s">
        <v>135</v>
      </c>
      <c r="B2" s="25">
        <f>'Mass Flow Rate (3rd iteration)'!B7</f>
        <v>6.1821714454601787E-2</v>
      </c>
      <c r="C2" s="25">
        <f>'Mass Flow Rate (3rd iteration)'!C7</f>
        <v>6.2541786777683989E-2</v>
      </c>
      <c r="D2" s="25">
        <f>'Mass Flow Rate (3rd iteration)'!D7</f>
        <v>6.3243511612516706E-2</v>
      </c>
    </row>
    <row r="3" spans="1:4">
      <c r="A3" s="1" t="s">
        <v>4</v>
      </c>
      <c r="B3" s="3">
        <f>'Dimensions and Readings'!H7</f>
        <v>64.202987199999995</v>
      </c>
      <c r="C3" s="3">
        <f>'Dimensions and Readings'!I7</f>
        <v>65.311519247222208</v>
      </c>
      <c r="D3" s="3">
        <f>'Dimensions and Readings'!J7</f>
        <v>66.348335199999994</v>
      </c>
    </row>
    <row r="4" spans="1:4">
      <c r="A4" s="1" t="s">
        <v>62</v>
      </c>
      <c r="B4" s="33">
        <f>'Dimensions and Readings'!B25</f>
        <v>1.8120528E-5</v>
      </c>
      <c r="C4" s="33">
        <f>'Dimensions and Readings'!C25</f>
        <v>1.8120528E-5</v>
      </c>
      <c r="D4" s="33">
        <f>'Dimensions and Readings'!D25</f>
        <v>1.8120528E-5</v>
      </c>
    </row>
    <row r="5" spans="1:4">
      <c r="B5" s="25"/>
      <c r="C5" s="25"/>
      <c r="D5" s="25"/>
    </row>
    <row r="6" spans="1:4">
      <c r="A6" s="1" t="s">
        <v>75</v>
      </c>
      <c r="B6" s="21">
        <f>(4*B2)/(PI()*(B3/1000)*B4)</f>
        <v>67658.922980226227</v>
      </c>
      <c r="C6" s="14">
        <f>(4*C2)/(PI()*(C3/1000)*C4)</f>
        <v>67285.23427599101</v>
      </c>
      <c r="D6" s="21">
        <f>(4*D2)/(PI()*(D3/1000)*D4)</f>
        <v>66976.926859809042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3"/>
  <sheetViews>
    <sheetView workbookViewId="0">
      <selection activeCell="B4" sqref="B4:D6"/>
    </sheetView>
  </sheetViews>
  <sheetFormatPr defaultColWidth="0" defaultRowHeight="15" zeroHeight="1"/>
  <cols>
    <col min="1" max="1" width="9.140625" customWidth="1"/>
    <col min="2" max="2" width="35.7109375" bestFit="1" customWidth="1"/>
    <col min="3" max="3" width="11.85546875" bestFit="1" customWidth="1"/>
    <col min="4" max="4" width="10" bestFit="1" customWidth="1"/>
    <col min="5" max="5" width="5.85546875" style="51" bestFit="1" customWidth="1"/>
    <col min="6" max="6" width="6.140625" style="51" bestFit="1" customWidth="1"/>
    <col min="7" max="8" width="9.140625" customWidth="1"/>
    <col min="9" max="16384" width="9.140625" hidden="1"/>
  </cols>
  <sheetData>
    <row r="1" spans="1:8">
      <c r="A1" s="35"/>
      <c r="B1" s="35"/>
      <c r="C1" s="35"/>
      <c r="D1" s="35"/>
      <c r="E1" s="36"/>
      <c r="F1" s="36"/>
      <c r="G1" s="35"/>
      <c r="H1" s="35"/>
    </row>
    <row r="2" spans="1:8">
      <c r="A2" s="35"/>
      <c r="B2" s="35"/>
      <c r="C2" s="35"/>
      <c r="D2" s="35"/>
      <c r="E2" s="36"/>
      <c r="F2" s="36"/>
      <c r="G2" s="35"/>
      <c r="H2" s="35"/>
    </row>
    <row r="3" spans="1:8" ht="15.75" thickBot="1">
      <c r="A3" s="35"/>
      <c r="B3" s="35"/>
      <c r="C3" s="36"/>
      <c r="D3" s="36"/>
      <c r="E3" s="36" t="s">
        <v>138</v>
      </c>
      <c r="F3" s="36" t="s">
        <v>139</v>
      </c>
      <c r="G3" s="35"/>
      <c r="H3" s="35"/>
    </row>
    <row r="4" spans="1:8" ht="31.5">
      <c r="A4" s="35"/>
      <c r="B4" s="37" t="s">
        <v>78</v>
      </c>
      <c r="C4" s="38">
        <f>'Final Calculations Sheet'!C8</f>
        <v>363.49134115272562</v>
      </c>
      <c r="D4" s="39" t="s">
        <v>83</v>
      </c>
      <c r="E4" s="40">
        <f>'Final Calculations Sheet'!B8</f>
        <v>367.37686308047739</v>
      </c>
      <c r="F4" s="40">
        <f>'Final Calculations Sheet'!D8</f>
        <v>359.91826714496045</v>
      </c>
      <c r="G4" s="35"/>
      <c r="H4" s="35"/>
    </row>
    <row r="5" spans="1:8" ht="31.5">
      <c r="A5" s="35"/>
      <c r="B5" s="41" t="s">
        <v>79</v>
      </c>
      <c r="C5" s="42">
        <f>'Final Calculations Sheet'!C9</f>
        <v>574.73027389595359</v>
      </c>
      <c r="D5" s="43" t="s">
        <v>83</v>
      </c>
      <c r="E5" s="40">
        <f>'Final Calculations Sheet'!B9</f>
        <v>580.87382349106554</v>
      </c>
      <c r="F5" s="40">
        <f>'Final Calculations Sheet'!D9</f>
        <v>569.08074783951156</v>
      </c>
      <c r="G5" s="35"/>
      <c r="H5" s="35"/>
    </row>
    <row r="6" spans="1:8" ht="32.25" thickBot="1">
      <c r="A6" s="35"/>
      <c r="B6" s="44" t="s">
        <v>80</v>
      </c>
      <c r="C6" s="45">
        <f>'Final Calculations Sheet'!C10</f>
        <v>608.23735026749227</v>
      </c>
      <c r="D6" s="46" t="s">
        <v>83</v>
      </c>
      <c r="E6" s="40">
        <f>'Final Calculations Sheet'!B10</f>
        <v>614.7390720258353</v>
      </c>
      <c r="F6" s="40">
        <f>'Final Calculations Sheet'!D10</f>
        <v>602.25845387920219</v>
      </c>
      <c r="G6" s="35"/>
      <c r="H6" s="35"/>
    </row>
    <row r="7" spans="1:8">
      <c r="A7" s="35"/>
      <c r="B7" s="35"/>
      <c r="C7" s="35"/>
      <c r="D7" s="35"/>
      <c r="E7" s="36"/>
      <c r="F7" s="36"/>
      <c r="G7" s="35"/>
      <c r="H7" s="35"/>
    </row>
    <row r="8" spans="1:8">
      <c r="A8" s="35"/>
      <c r="B8" s="62" t="s">
        <v>184</v>
      </c>
      <c r="C8" s="63">
        <f>'C (4th iteration)'!C23</f>
        <v>0.61422911913806</v>
      </c>
      <c r="D8" s="35"/>
      <c r="E8" s="63">
        <f>'C (4th iteration)'!B23</f>
        <v>0.61484733773161626</v>
      </c>
      <c r="F8" s="63">
        <f>'C (4th iteration)'!D23</f>
        <v>0.61365065205285874</v>
      </c>
      <c r="G8" s="35"/>
      <c r="H8" s="35"/>
    </row>
    <row r="9" spans="1:8">
      <c r="A9" s="35"/>
      <c r="B9" s="62" t="s">
        <v>158</v>
      </c>
      <c r="C9" s="63">
        <f>'Dimensions and Readings'!I11</f>
        <v>0.59379668765083715</v>
      </c>
      <c r="D9" s="36"/>
      <c r="E9" s="63">
        <f>'Dimensions and Readings'!H11</f>
        <v>0.58246940610500808</v>
      </c>
      <c r="F9" s="63">
        <f>'Dimensions and Readings'!J11</f>
        <v>0.60595631600144595</v>
      </c>
      <c r="G9" s="35"/>
      <c r="H9" s="35"/>
    </row>
    <row r="10" spans="1:8">
      <c r="A10" s="35"/>
      <c r="B10" s="35"/>
      <c r="C10" s="35"/>
      <c r="D10" s="35"/>
      <c r="E10" s="36"/>
      <c r="F10" s="36"/>
      <c r="G10" s="35"/>
      <c r="H10" s="35"/>
    </row>
    <row r="11" spans="1:8">
      <c r="A11" s="35"/>
      <c r="B11" s="35"/>
      <c r="C11" s="35"/>
      <c r="D11" s="35"/>
      <c r="E11" s="36"/>
      <c r="F11" s="36"/>
      <c r="G11" s="35"/>
      <c r="H11" s="35"/>
    </row>
    <row r="12" spans="1:8">
      <c r="A12" s="35"/>
      <c r="B12" s="35"/>
      <c r="C12" s="35"/>
      <c r="D12" s="35"/>
      <c r="E12" s="36"/>
      <c r="F12" s="36"/>
      <c r="G12" s="35"/>
      <c r="H12" s="35"/>
    </row>
    <row r="13" spans="1:8">
      <c r="A13" s="35"/>
      <c r="B13" s="35"/>
      <c r="C13" s="35"/>
      <c r="D13" s="35"/>
      <c r="E13" s="36"/>
      <c r="F13" s="36"/>
      <c r="G13" s="35"/>
      <c r="H13" s="35"/>
    </row>
  </sheetData>
  <sheetProtection sheet="1" objects="1" scenarios="1" selectLockedCells="1"/>
  <pageMargins left="0.7" right="0.7" top="0.75" bottom="0.75" header="0.3" footer="0.3"/>
  <pageSetup paperSize="9" orientation="portrait" horizontalDpi="4294967293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D23"/>
  <sheetViews>
    <sheetView workbookViewId="0">
      <selection activeCell="C23" sqref="C23"/>
    </sheetView>
  </sheetViews>
  <sheetFormatPr defaultRowHeight="15"/>
  <cols>
    <col min="1" max="1" width="19.42578125" customWidth="1"/>
    <col min="2" max="4" width="12.7109375" style="25" bestFit="1" customWidth="1"/>
  </cols>
  <sheetData>
    <row r="1" spans="1:4">
      <c r="B1" s="64" t="s">
        <v>87</v>
      </c>
      <c r="C1" s="64" t="s">
        <v>89</v>
      </c>
      <c r="D1" s="64" t="s">
        <v>88</v>
      </c>
    </row>
    <row r="2" spans="1:4">
      <c r="A2" s="1" t="s">
        <v>18</v>
      </c>
      <c r="B2" s="3">
        <f>'Dimensions and Readings'!H8</f>
        <v>38.645875400000001</v>
      </c>
      <c r="C2" s="3">
        <f>'Dimensions and Readings'!I8</f>
        <v>38.781763794444444</v>
      </c>
      <c r="D2" s="3">
        <f>'Dimensions and Readings'!J8</f>
        <v>38.90420559999999</v>
      </c>
    </row>
    <row r="3" spans="1:4">
      <c r="A3" s="1" t="s">
        <v>4</v>
      </c>
      <c r="B3" s="3">
        <f>'Dimensions and Readings'!H7</f>
        <v>64.202987199999995</v>
      </c>
      <c r="C3" s="3">
        <f>'Dimensions and Readings'!I7</f>
        <v>65.311519247222208</v>
      </c>
      <c r="D3" s="3">
        <f>'Dimensions and Readings'!J7</f>
        <v>66.348335199999994</v>
      </c>
    </row>
    <row r="4" spans="1:4">
      <c r="A4" s="1" t="s">
        <v>31</v>
      </c>
      <c r="B4" s="64">
        <f>B2/B3</f>
        <v>0.60193266832917713</v>
      </c>
      <c r="C4" s="64">
        <f>C2/C3</f>
        <v>0.59379668765083715</v>
      </c>
      <c r="D4" s="64">
        <f>D2/D3</f>
        <v>0.58636295067129274</v>
      </c>
    </row>
    <row r="5" spans="1:4">
      <c r="A5" s="1" t="s">
        <v>28</v>
      </c>
      <c r="B5" s="3">
        <f>'Dimensions and Readings'!H9</f>
        <v>63.482504799999994</v>
      </c>
      <c r="C5" s="3">
        <f>'Dimensions and Readings'!I9</f>
        <v>63.582677555555549</v>
      </c>
      <c r="D5" s="3">
        <f>'Dimensions and Readings'!J9</f>
        <v>63.736038399999998</v>
      </c>
    </row>
    <row r="6" spans="1:4">
      <c r="A6" s="1" t="s">
        <v>56</v>
      </c>
      <c r="B6" s="3">
        <f>'Dimensions and Readings'!H10</f>
        <v>33.412371300000004</v>
      </c>
      <c r="C6" s="3">
        <f>'Dimensions and Readings'!I10</f>
        <v>33.465971733333326</v>
      </c>
      <c r="D6" s="3">
        <f>'Dimensions and Readings'!J10</f>
        <v>33.499453600000002</v>
      </c>
    </row>
    <row r="7" spans="1:4">
      <c r="A7" s="1" t="s">
        <v>32</v>
      </c>
      <c r="B7" s="64">
        <f>B5/B3</f>
        <v>0.98877805486284287</v>
      </c>
      <c r="C7" s="64">
        <f>C5/C3</f>
        <v>0.97352929909465868</v>
      </c>
      <c r="D7" s="64">
        <f>D5/D3</f>
        <v>0.96062754563282549</v>
      </c>
    </row>
    <row r="8" spans="1:4">
      <c r="A8" s="1" t="s">
        <v>33</v>
      </c>
      <c r="B8" s="64">
        <f>B6/B3</f>
        <v>0.52041770573566093</v>
      </c>
      <c r="C8" s="64">
        <f>C6/C3</f>
        <v>0.51240534777112356</v>
      </c>
      <c r="D8" s="64">
        <f>D6/D3</f>
        <v>0.50490270025644901</v>
      </c>
    </row>
    <row r="9" spans="1:4">
      <c r="A9" s="1" t="s">
        <v>75</v>
      </c>
      <c r="B9" s="21">
        <f>'Re (4th iteration)'!B6</f>
        <v>67658.922980226227</v>
      </c>
      <c r="C9" s="21">
        <f>'Re (4th iteration)'!C6</f>
        <v>67285.23427599101</v>
      </c>
      <c r="D9" s="21">
        <f>'Re (4th iteration)'!D6</f>
        <v>66976.926859809042</v>
      </c>
    </row>
    <row r="10" spans="1:4">
      <c r="A10" s="1" t="s">
        <v>173</v>
      </c>
      <c r="B10" s="64">
        <f>(19000*B4/B9)^0.8</f>
        <v>0.24120213514286543</v>
      </c>
      <c r="C10" s="64">
        <f>(19000*C4/C9)^0.8</f>
        <v>0.23964991659457796</v>
      </c>
      <c r="D10" s="64">
        <f>(19000*D4/D9)^0.8</f>
        <v>0.23812002786861142</v>
      </c>
    </row>
    <row r="11" spans="1:4">
      <c r="A11" s="1" t="s">
        <v>177</v>
      </c>
      <c r="B11" s="64">
        <f>'Dimensions and Readings'!H16</f>
        <v>2.4122313715982733</v>
      </c>
      <c r="C11" s="64">
        <f>'Dimensions and Readings'!I16</f>
        <v>2.5229008833422411</v>
      </c>
      <c r="D11" s="64">
        <f>'Dimensions and Readings'!J16</f>
        <v>2.6483056875750877</v>
      </c>
    </row>
    <row r="12" spans="1:4">
      <c r="A12" s="107" t="s">
        <v>176</v>
      </c>
      <c r="B12" s="107"/>
      <c r="C12"/>
      <c r="D12"/>
    </row>
    <row r="13" spans="1:4">
      <c r="A13" s="1" t="s">
        <v>36</v>
      </c>
      <c r="B13" s="85">
        <v>0.59609999999999996</v>
      </c>
      <c r="C13" s="64">
        <v>0.59609999999999996</v>
      </c>
      <c r="D13" s="85">
        <v>0.59609999999999996</v>
      </c>
    </row>
    <row r="14" spans="1:4">
      <c r="A14" s="1" t="s">
        <v>37</v>
      </c>
      <c r="B14" s="85">
        <f>0.0261*B4^2</f>
        <v>9.4566286609691526E-3</v>
      </c>
      <c r="C14" s="64">
        <f>0.0261*C4^2</f>
        <v>9.2027166135192628E-3</v>
      </c>
      <c r="D14" s="85">
        <f>0.0261*D4^2</f>
        <v>8.973741408910562E-3</v>
      </c>
    </row>
    <row r="15" spans="1:4">
      <c r="A15" s="1" t="s">
        <v>38</v>
      </c>
      <c r="B15" s="85">
        <f>-0.216*B4^8</f>
        <v>-3.7225202119084361E-3</v>
      </c>
      <c r="C15" s="64">
        <f>-0.216*C4^8</f>
        <v>-3.3385348682620913E-3</v>
      </c>
      <c r="D15" s="85">
        <f>-0.216*D4^8</f>
        <v>-3.0184634682708404E-3</v>
      </c>
    </row>
    <row r="16" spans="1:4">
      <c r="A16" s="1" t="s">
        <v>39</v>
      </c>
      <c r="B16" s="85">
        <f>0.000521*(1000000/B9)^0.7</f>
        <v>3.4324970062513389E-3</v>
      </c>
      <c r="C16" s="64">
        <f>0.000521*(1000000/C9)^0.7</f>
        <v>3.4458302963625348E-3</v>
      </c>
      <c r="D16" s="85">
        <f>0.000521*(1000000/D9)^0.7</f>
        <v>3.4569259094082636E-3</v>
      </c>
    </row>
    <row r="17" spans="1:4">
      <c r="A17" s="1" t="s">
        <v>40</v>
      </c>
      <c r="B17" s="85">
        <f>(0.0188+0.0063*B10)*(B4^3.5)*((1000000/B9)^0.3)</f>
        <v>7.7132030179516715E-3</v>
      </c>
      <c r="C17" s="64">
        <f>(0.0188+0.0063*C10)*(C4^3.5)*((1000000/C9)^0.3)</f>
        <v>7.3631185894098951E-3</v>
      </c>
      <c r="D17" s="85">
        <f>(0.0188+0.0063*D10)*(D4^3.5)*((1000000/D9)^0.3)</f>
        <v>7.0518755561251867E-3</v>
      </c>
    </row>
    <row r="18" spans="1:4">
      <c r="A18" s="1" t="s">
        <v>41</v>
      </c>
      <c r="B18" s="85">
        <f>(0.043+(0.08*EXP(-10*B7))-(0.123*EXP(-7*B7)))*(1-0.11*B10)*((B4^4)/(1-(B4^4)))</f>
        <v>6.3083365098293969E-3</v>
      </c>
      <c r="C18" s="64">
        <f>(0.043+(0.08*EXP(-10*C7))-(0.123*EXP(-7*C7)))*(1-0.11*C10)*((C4^4)/(1-(C4^4)))</f>
        <v>5.9259182521172503E-3</v>
      </c>
      <c r="D18" s="85">
        <f>(0.043+(0.08*EXP(-10*D7))-(0.123*EXP(-7*D7)))*(1-0.11*D10)*((D4^4)/(1-(D4^4)))</f>
        <v>5.5950435056647176E-3</v>
      </c>
    </row>
    <row r="19" spans="1:4">
      <c r="A19" s="1" t="s">
        <v>174</v>
      </c>
      <c r="B19" s="85">
        <f>-0.031*(B11-0.8*(B11^1.1))*(B4^1.3)</f>
        <v>-4.8843513425287539E-3</v>
      </c>
      <c r="C19" s="64">
        <f>-0.031*(C11-0.8*(C11^1.1))*(C4^1.3)</f>
        <v>-4.8628566453350654E-3</v>
      </c>
      <c r="D19" s="85">
        <f>-0.031*(D11-0.8*(D11^1.1))*(D4^1.3)</f>
        <v>-4.8466217499569912E-3</v>
      </c>
    </row>
    <row r="20" spans="1:4">
      <c r="A20" s="1" t="s">
        <v>175</v>
      </c>
      <c r="B20" s="73">
        <f>0.011*(0.75-B4)*(2.8-(B3/25.4))</f>
        <v>4.4354409105189745E-4</v>
      </c>
      <c r="C20">
        <f>0.011*(0.75-C4)*(2.8-(C3/25.4))</f>
        <v>3.9292690024813947E-4</v>
      </c>
      <c r="D20" s="73">
        <f>0.011*(0.75-D4)*(2.8-(D3/25.4))</f>
        <v>3.3815089097772514E-4</v>
      </c>
    </row>
    <row r="23" spans="1:4">
      <c r="A23" s="1" t="s">
        <v>136</v>
      </c>
      <c r="B23" s="25">
        <f>SUM(B13:B20)</f>
        <v>0.61484733773161626</v>
      </c>
      <c r="C23" s="13">
        <f>SUM(C13:C20)</f>
        <v>0.61422911913806</v>
      </c>
      <c r="D23" s="25">
        <f>SUM(D13:D20)</f>
        <v>0.61365065205285874</v>
      </c>
    </row>
  </sheetData>
  <mergeCells count="1">
    <mergeCell ref="A12:B1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E7"/>
  <sheetViews>
    <sheetView workbookViewId="0">
      <selection activeCell="C7" sqref="C7"/>
    </sheetView>
  </sheetViews>
  <sheetFormatPr defaultRowHeight="15"/>
  <cols>
    <col min="1" max="1" width="12.5703125" style="1" bestFit="1" customWidth="1"/>
  </cols>
  <sheetData>
    <row r="1" spans="1:5">
      <c r="B1" s="25" t="s">
        <v>87</v>
      </c>
      <c r="C1" s="25" t="s">
        <v>89</v>
      </c>
      <c r="D1" s="25" t="s">
        <v>88</v>
      </c>
    </row>
    <row r="2" spans="1:5">
      <c r="A2" s="1" t="s">
        <v>18</v>
      </c>
      <c r="B2" s="3">
        <f>'Dimensions and Readings'!H8</f>
        <v>38.645875400000001</v>
      </c>
      <c r="C2" s="3">
        <f>'Dimensions and Readings'!I8</f>
        <v>38.781763794444444</v>
      </c>
      <c r="D2" s="3">
        <f>'Dimensions and Readings'!J8</f>
        <v>38.90420559999999</v>
      </c>
    </row>
    <row r="3" spans="1:5">
      <c r="A3" s="1" t="s">
        <v>71</v>
      </c>
      <c r="B3" s="25">
        <f>'Dimensions and Readings'!B18</f>
        <v>1.2101720256570729</v>
      </c>
      <c r="C3" s="25">
        <f>'Dimensions and Readings'!C18</f>
        <v>1.2081154926385205</v>
      </c>
      <c r="D3" s="25">
        <f>'Dimensions and Readings'!D18</f>
        <v>1.2061908129508569</v>
      </c>
    </row>
    <row r="4" spans="1:5">
      <c r="A4" s="1" t="s">
        <v>46</v>
      </c>
      <c r="B4" s="21">
        <f>'Dimensions and Readings'!B20</f>
        <v>275</v>
      </c>
      <c r="C4" s="21">
        <f>'Dimensions and Readings'!C20</f>
        <v>275.66666666666669</v>
      </c>
      <c r="D4" s="21">
        <f>'Dimensions and Readings'!D20</f>
        <v>276</v>
      </c>
      <c r="E4" t="s">
        <v>45</v>
      </c>
    </row>
    <row r="5" spans="1:5">
      <c r="A5" s="1" t="s">
        <v>46</v>
      </c>
      <c r="B5" s="25">
        <f>B4*9.80638</f>
        <v>2696.7545</v>
      </c>
      <c r="C5" s="25">
        <f>C4*9.80638</f>
        <v>2703.2920866666673</v>
      </c>
      <c r="D5" s="25">
        <f>D4*9.80638</f>
        <v>2706.56088</v>
      </c>
      <c r="E5" t="s">
        <v>70</v>
      </c>
    </row>
    <row r="6" spans="1:5">
      <c r="B6" s="25"/>
      <c r="C6" s="25"/>
      <c r="D6" s="25"/>
    </row>
    <row r="7" spans="1:5">
      <c r="A7" s="1" t="s">
        <v>140</v>
      </c>
      <c r="B7" s="25">
        <f>'C (4th iteration)'!B23*'Dimensions and Readings'!H15*'Dimensions and Readings'!H14*(PI()/4)*((B2/1000)^2)*(2*B5*B3)^0.5</f>
        <v>6.1821764392762012E-2</v>
      </c>
      <c r="C7" s="13">
        <f>'C (4th iteration)'!C23*'Dimensions and Readings'!I15*'Dimensions and Readings'!I14*(PI()/4)*((C2/1000)^2)*(2*C5*C3)^0.5</f>
        <v>6.2541834061937349E-2</v>
      </c>
      <c r="D7" s="25">
        <f>'C (4th iteration)'!D23*'Dimensions and Readings'!J15*'Dimensions and Readings'!J14*(PI()/4)*((D2/1000)^2)*(2*D5*D3)^0.5</f>
        <v>6.3243556614273375E-2</v>
      </c>
      <c r="E7" t="s">
        <v>72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E14"/>
  <sheetViews>
    <sheetView workbookViewId="0"/>
  </sheetViews>
  <sheetFormatPr defaultRowHeight="15"/>
  <cols>
    <col min="1" max="1" width="23.85546875" style="1" bestFit="1" customWidth="1"/>
    <col min="5" max="5" width="8.5703125" bestFit="1" customWidth="1"/>
  </cols>
  <sheetData>
    <row r="1" spans="1:5">
      <c r="B1" s="25" t="s">
        <v>87</v>
      </c>
      <c r="C1" s="25" t="s">
        <v>89</v>
      </c>
      <c r="D1" s="25" t="s">
        <v>88</v>
      </c>
    </row>
    <row r="2" spans="1:5">
      <c r="A2" s="1" t="s">
        <v>71</v>
      </c>
      <c r="B2" s="25">
        <f>'Dimensions and Readings'!B14</f>
        <v>1.2400613359768062</v>
      </c>
      <c r="C2" s="25">
        <f>'Dimensions and Readings'!C14</f>
        <v>1.2387635634693461</v>
      </c>
      <c r="D2" s="25">
        <f>'Dimensions and Readings'!D14</f>
        <v>1.2372905560288676</v>
      </c>
      <c r="E2" t="s">
        <v>59</v>
      </c>
    </row>
    <row r="3" spans="1:5">
      <c r="A3" s="1" t="s">
        <v>81</v>
      </c>
      <c r="B3" s="21">
        <f>'Dimensions and Readings'!B13</f>
        <v>21</v>
      </c>
      <c r="C3" s="21">
        <f>'Dimensions and Readings'!C13</f>
        <v>22</v>
      </c>
      <c r="D3" s="21">
        <f>'Dimensions and Readings'!D13</f>
        <v>23</v>
      </c>
      <c r="E3" t="s">
        <v>45</v>
      </c>
    </row>
    <row r="4" spans="1:5">
      <c r="A4" s="1" t="s">
        <v>81</v>
      </c>
      <c r="B4" s="30">
        <f>B3/25.4</f>
        <v>0.82677165354330717</v>
      </c>
      <c r="C4" s="30">
        <f>C3/25.4</f>
        <v>0.86614173228346458</v>
      </c>
      <c r="D4" s="30">
        <f>D3/25.4</f>
        <v>0.9055118110236221</v>
      </c>
      <c r="E4" t="s">
        <v>82</v>
      </c>
    </row>
    <row r="5" spans="1:5">
      <c r="A5" s="1" t="s">
        <v>76</v>
      </c>
      <c r="B5" s="25">
        <f>'Mass Flow Rate (4th iteration)'!B7/B2</f>
        <v>4.9853795614121385E-2</v>
      </c>
      <c r="C5" s="25">
        <f>'Mass Flow Rate (4th iteration)'!C7/C2</f>
        <v>5.0487305169664022E-2</v>
      </c>
      <c r="D5" s="25">
        <f>'Mass Flow Rate (4th iteration)'!D7/D2</f>
        <v>5.1114555353316556E-2</v>
      </c>
      <c r="E5" t="s">
        <v>77</v>
      </c>
    </row>
    <row r="6" spans="1:5">
      <c r="A6" s="1" t="s">
        <v>76</v>
      </c>
      <c r="B6" s="25">
        <f>B5*2118.88</f>
        <v>105.63421045084952</v>
      </c>
      <c r="C6" s="25">
        <f>C5*2118.88</f>
        <v>106.97654117789772</v>
      </c>
      <c r="D6" s="25">
        <f>D5*2118.88</f>
        <v>108.30560904703539</v>
      </c>
      <c r="E6" t="s">
        <v>83</v>
      </c>
    </row>
    <row r="8" spans="1:5">
      <c r="A8" s="1" t="s">
        <v>78</v>
      </c>
      <c r="B8" s="20">
        <f>B6*(10/B4)^0.5</f>
        <v>367.37686308047739</v>
      </c>
      <c r="C8" s="20">
        <f>C6*(10/C4)^0.5</f>
        <v>363.49134115272562</v>
      </c>
      <c r="D8" s="20">
        <f>D6*(10/D4)^0.5</f>
        <v>359.91826714496045</v>
      </c>
      <c r="E8" s="7" t="s">
        <v>83</v>
      </c>
    </row>
    <row r="9" spans="1:5">
      <c r="A9" s="1" t="s">
        <v>79</v>
      </c>
      <c r="B9" s="20">
        <f>B6*(25/B4)^0.5</f>
        <v>580.87382349106554</v>
      </c>
      <c r="C9" s="20">
        <f>C6*(25/C4)^0.5</f>
        <v>574.73027389595359</v>
      </c>
      <c r="D9" s="20">
        <f>D6*(25/D4)^0.5</f>
        <v>569.08074783951156</v>
      </c>
      <c r="E9" s="7" t="s">
        <v>83</v>
      </c>
    </row>
    <row r="10" spans="1:5">
      <c r="A10" s="1" t="s">
        <v>80</v>
      </c>
      <c r="B10" s="20">
        <f>B6*(28/B4)^0.5</f>
        <v>614.7390720258353</v>
      </c>
      <c r="C10" s="20">
        <f>C6*(28/C4)^0.5</f>
        <v>608.23735026749227</v>
      </c>
      <c r="D10" s="20">
        <f>D6*(28/D4)^0.5</f>
        <v>602.25845387920219</v>
      </c>
      <c r="E10" s="7" t="s">
        <v>83</v>
      </c>
    </row>
    <row r="11" spans="1:5">
      <c r="B11" s="32"/>
      <c r="C11" s="32"/>
      <c r="D11" s="32"/>
    </row>
    <row r="12" spans="1:5">
      <c r="B12" s="32"/>
      <c r="C12" s="32"/>
      <c r="D12" s="32"/>
    </row>
    <row r="13" spans="1:5">
      <c r="B13" s="32"/>
      <c r="C13" s="32"/>
      <c r="D13" s="32"/>
    </row>
    <row r="14" spans="1:5">
      <c r="B14" s="32"/>
      <c r="C14" s="32"/>
      <c r="D14" s="3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65"/>
  <sheetViews>
    <sheetView workbookViewId="0">
      <selection activeCell="B2" sqref="B2"/>
    </sheetView>
  </sheetViews>
  <sheetFormatPr defaultRowHeight="15"/>
  <cols>
    <col min="1" max="1" width="49.42578125" bestFit="1" customWidth="1"/>
    <col min="2" max="3" width="9.140625" style="2"/>
    <col min="4" max="4" width="9.7109375" style="2" customWidth="1"/>
    <col min="5" max="5" width="10.5703125" style="2" customWidth="1"/>
    <col min="6" max="6" width="10.42578125" customWidth="1"/>
  </cols>
  <sheetData>
    <row r="1" spans="1:13" ht="21">
      <c r="A1" s="6" t="s">
        <v>160</v>
      </c>
    </row>
    <row r="2" spans="1:13">
      <c r="A2" t="s">
        <v>84</v>
      </c>
      <c r="B2" s="47">
        <v>16.399999999999999</v>
      </c>
      <c r="C2" s="12" t="s">
        <v>27</v>
      </c>
      <c r="D2" s="7" t="s">
        <v>85</v>
      </c>
      <c r="E2" s="2">
        <f>B2-0.5</f>
        <v>15.899999999999999</v>
      </c>
      <c r="F2" t="s">
        <v>86</v>
      </c>
      <c r="G2" s="9">
        <f>B2+0.5</f>
        <v>16.899999999999999</v>
      </c>
    </row>
    <row r="3" spans="1:13" ht="21">
      <c r="A3" s="6"/>
    </row>
    <row r="4" spans="1:13">
      <c r="A4" t="s">
        <v>161</v>
      </c>
      <c r="B4" s="2">
        <v>1</v>
      </c>
      <c r="C4" s="2">
        <v>2</v>
      </c>
      <c r="D4" s="2">
        <v>3</v>
      </c>
    </row>
    <row r="5" spans="1:13">
      <c r="A5" s="1" t="s">
        <v>0</v>
      </c>
      <c r="B5" s="47">
        <v>65.25</v>
      </c>
      <c r="C5" s="47">
        <v>65.209999999999994</v>
      </c>
      <c r="D5" s="47">
        <v>65.23</v>
      </c>
      <c r="E5" s="3"/>
    </row>
    <row r="6" spans="1:13">
      <c r="A6" s="1" t="s">
        <v>1</v>
      </c>
      <c r="B6" s="47">
        <v>65.22</v>
      </c>
      <c r="C6" s="47">
        <v>65.06</v>
      </c>
      <c r="D6" s="47">
        <v>65.25</v>
      </c>
      <c r="E6" s="3"/>
    </row>
    <row r="7" spans="1:13">
      <c r="A7" s="1" t="s">
        <v>2</v>
      </c>
      <c r="B7" s="47">
        <v>66.069999999999993</v>
      </c>
      <c r="C7" s="47">
        <v>66.290000000000006</v>
      </c>
      <c r="D7" s="47">
        <v>66.22</v>
      </c>
      <c r="E7" s="3"/>
    </row>
    <row r="8" spans="1:13">
      <c r="A8" s="1" t="s">
        <v>3</v>
      </c>
      <c r="B8" s="47">
        <v>64.27</v>
      </c>
      <c r="C8" s="47">
        <v>64.16</v>
      </c>
      <c r="D8" s="47">
        <v>64.900000000000006</v>
      </c>
      <c r="E8" s="3"/>
    </row>
    <row r="9" spans="1:13">
      <c r="A9" s="5" t="s">
        <v>4</v>
      </c>
      <c r="B9" s="4">
        <f>AVERAGE(B5:D8)</f>
        <v>65.260833333333323</v>
      </c>
      <c r="C9" s="2" t="s">
        <v>7</v>
      </c>
    </row>
    <row r="10" spans="1:13">
      <c r="A10" s="5" t="s">
        <v>5</v>
      </c>
      <c r="B10" s="10">
        <f>MIN(B5:D8)</f>
        <v>64.16</v>
      </c>
      <c r="C10" s="8">
        <f>1-(B10/B9)</f>
        <v>1.686820834344227E-2</v>
      </c>
      <c r="D10" s="95" t="s">
        <v>162</v>
      </c>
      <c r="E10" s="95"/>
      <c r="F10" s="95"/>
      <c r="G10" s="95"/>
      <c r="H10" s="95"/>
      <c r="I10" s="95"/>
      <c r="J10" s="95"/>
      <c r="K10" s="95"/>
      <c r="L10" s="95"/>
      <c r="M10" s="95"/>
    </row>
    <row r="11" spans="1:13">
      <c r="A11" s="5" t="s">
        <v>6</v>
      </c>
      <c r="B11" s="10">
        <f>MAX(B5:D8)</f>
        <v>66.290000000000006</v>
      </c>
      <c r="C11" s="8">
        <f>(B11/B10)-1</f>
        <v>3.3198254364089852E-2</v>
      </c>
      <c r="D11" s="95"/>
      <c r="E11" s="95"/>
      <c r="F11" s="95"/>
      <c r="G11" s="95"/>
      <c r="H11" s="95"/>
      <c r="I11" s="95"/>
      <c r="J11" s="95"/>
      <c r="K11" s="95"/>
      <c r="L11" s="95"/>
      <c r="M11" s="95"/>
    </row>
    <row r="13" spans="1:13">
      <c r="A13" s="11" t="s">
        <v>163</v>
      </c>
      <c r="B13" s="2">
        <v>1</v>
      </c>
      <c r="C13" s="2">
        <v>2</v>
      </c>
      <c r="D13" s="2">
        <v>3</v>
      </c>
    </row>
    <row r="14" spans="1:13">
      <c r="A14" s="1" t="s">
        <v>0</v>
      </c>
      <c r="B14" s="47">
        <v>38.700000000000003</v>
      </c>
      <c r="C14" s="47">
        <v>38.619999999999997</v>
      </c>
      <c r="D14" s="47">
        <v>38.68</v>
      </c>
      <c r="E14" s="3"/>
    </row>
    <row r="15" spans="1:13">
      <c r="A15" s="1" t="s">
        <v>1</v>
      </c>
      <c r="B15" s="47">
        <v>38.700000000000003</v>
      </c>
      <c r="C15" s="47">
        <v>38.75</v>
      </c>
      <c r="D15" s="47">
        <v>38.74</v>
      </c>
      <c r="E15" s="3"/>
    </row>
    <row r="16" spans="1:13">
      <c r="A16" s="1" t="s">
        <v>2</v>
      </c>
      <c r="B16" s="47">
        <v>38.85</v>
      </c>
      <c r="C16" s="47">
        <v>38.869999999999997</v>
      </c>
      <c r="D16" s="47">
        <v>38.869999999999997</v>
      </c>
      <c r="E16" s="3"/>
    </row>
    <row r="17" spans="1:13">
      <c r="A17" s="1" t="s">
        <v>3</v>
      </c>
      <c r="B17" s="47">
        <v>38.74</v>
      </c>
      <c r="C17" s="47">
        <v>38.76</v>
      </c>
      <c r="D17" s="47">
        <v>38.74</v>
      </c>
      <c r="E17" s="3"/>
    </row>
    <row r="18" spans="1:13">
      <c r="A18" s="5" t="s">
        <v>18</v>
      </c>
      <c r="B18" s="4">
        <f>AVERAGE(B14:D17)</f>
        <v>38.751666666666672</v>
      </c>
      <c r="C18" s="2" t="s">
        <v>7</v>
      </c>
    </row>
    <row r="19" spans="1:13">
      <c r="A19" s="5" t="s">
        <v>19</v>
      </c>
      <c r="B19" s="10">
        <f>MIN(B14:D17)</f>
        <v>38.619999999999997</v>
      </c>
      <c r="C19" s="8">
        <f>1-(B19/B18)</f>
        <v>3.3977033245884414E-3</v>
      </c>
      <c r="D19" s="95" t="s">
        <v>166</v>
      </c>
      <c r="E19" s="95"/>
      <c r="F19" s="95"/>
      <c r="G19" s="95"/>
      <c r="H19" s="95"/>
      <c r="I19" s="95"/>
      <c r="J19" s="95"/>
      <c r="K19" s="95"/>
      <c r="L19" s="95"/>
      <c r="M19" s="95"/>
    </row>
    <row r="20" spans="1:13">
      <c r="A20" s="5" t="s">
        <v>20</v>
      </c>
      <c r="B20" s="10">
        <f>MAX(B14:D17)</f>
        <v>38.869999999999997</v>
      </c>
      <c r="C20" s="8">
        <f>(B20/B19)-1</f>
        <v>6.4733298808907769E-3</v>
      </c>
      <c r="D20" s="95"/>
      <c r="E20" s="95"/>
      <c r="F20" s="95"/>
      <c r="G20" s="95"/>
      <c r="H20" s="95"/>
      <c r="I20" s="95"/>
      <c r="J20" s="95"/>
      <c r="K20" s="95"/>
      <c r="L20" s="95"/>
      <c r="M20" s="95"/>
    </row>
    <row r="22" spans="1:13">
      <c r="A22" s="11" t="s">
        <v>164</v>
      </c>
      <c r="B22" s="2">
        <v>1</v>
      </c>
      <c r="C22" s="2">
        <v>2</v>
      </c>
      <c r="D22" s="2">
        <v>3</v>
      </c>
    </row>
    <row r="23" spans="1:13">
      <c r="A23" s="1" t="s">
        <v>8</v>
      </c>
      <c r="B23" s="47">
        <v>0.73</v>
      </c>
      <c r="C23" s="47">
        <v>0.77</v>
      </c>
      <c r="D23" s="47">
        <v>0.78</v>
      </c>
      <c r="E23" s="3"/>
    </row>
    <row r="24" spans="1:13">
      <c r="A24" s="1" t="s">
        <v>9</v>
      </c>
      <c r="B24" s="47">
        <v>0.76</v>
      </c>
      <c r="C24" s="47">
        <v>0.73</v>
      </c>
      <c r="D24" s="47">
        <v>0.8</v>
      </c>
      <c r="E24" s="3"/>
    </row>
    <row r="25" spans="1:13">
      <c r="A25" s="1" t="s">
        <v>21</v>
      </c>
      <c r="B25" s="47">
        <v>0.52</v>
      </c>
      <c r="C25" s="47">
        <v>0.57999999999999996</v>
      </c>
      <c r="D25" s="47">
        <v>0.55000000000000004</v>
      </c>
      <c r="E25" s="3"/>
    </row>
    <row r="26" spans="1:13">
      <c r="A26" s="1" t="s">
        <v>22</v>
      </c>
      <c r="B26" s="47">
        <v>0.85</v>
      </c>
      <c r="C26" s="47">
        <v>0.81</v>
      </c>
      <c r="D26" s="47">
        <v>0.66</v>
      </c>
      <c r="E26" s="3"/>
    </row>
    <row r="27" spans="1:13">
      <c r="A27" s="1" t="s">
        <v>10</v>
      </c>
      <c r="B27" s="47">
        <v>0.68</v>
      </c>
      <c r="C27" s="47">
        <v>0.76</v>
      </c>
      <c r="D27" s="47">
        <v>0.76</v>
      </c>
      <c r="E27" s="3"/>
    </row>
    <row r="28" spans="1:13">
      <c r="A28" s="1" t="s">
        <v>11</v>
      </c>
      <c r="B28" s="47">
        <v>0.65</v>
      </c>
      <c r="C28" s="47">
        <v>0.62</v>
      </c>
      <c r="D28" s="47">
        <v>0.63</v>
      </c>
      <c r="E28" s="3"/>
    </row>
    <row r="29" spans="1:13">
      <c r="A29" s="1" t="s">
        <v>12</v>
      </c>
      <c r="B29" s="47">
        <v>0.68</v>
      </c>
      <c r="C29" s="47">
        <v>0.57999999999999996</v>
      </c>
      <c r="D29" s="47">
        <v>0.69</v>
      </c>
      <c r="E29" s="3"/>
    </row>
    <row r="30" spans="1:13">
      <c r="A30" s="1" t="s">
        <v>13</v>
      </c>
      <c r="B30" s="47">
        <v>0.6</v>
      </c>
      <c r="C30" s="47">
        <v>0.66</v>
      </c>
      <c r="D30" s="47">
        <v>0.72</v>
      </c>
      <c r="E30" s="3"/>
    </row>
    <row r="31" spans="1:13">
      <c r="A31" s="5" t="s">
        <v>15</v>
      </c>
      <c r="B31" s="4">
        <f>AVERAGE(B23:D30)</f>
        <v>0.69041666666666657</v>
      </c>
      <c r="C31" s="2" t="s">
        <v>7</v>
      </c>
      <c r="D31" s="96" t="s">
        <v>14</v>
      </c>
      <c r="E31" s="96"/>
    </row>
    <row r="32" spans="1:13">
      <c r="A32" s="5" t="s">
        <v>16</v>
      </c>
      <c r="B32" s="10">
        <f>MIN(B23:D30)</f>
        <v>0.52</v>
      </c>
      <c r="C32" s="10">
        <f>B31-B32</f>
        <v>0.17041666666666655</v>
      </c>
      <c r="D32" s="97">
        <f>0.001*B9</f>
        <v>6.5260833333333323E-2</v>
      </c>
      <c r="E32" s="97"/>
      <c r="F32" s="98" t="s">
        <v>167</v>
      </c>
      <c r="G32" s="99"/>
      <c r="H32" s="99"/>
      <c r="I32" s="99"/>
      <c r="J32" s="99"/>
      <c r="K32" s="99"/>
      <c r="L32" s="99"/>
      <c r="M32" s="100"/>
    </row>
    <row r="33" spans="1:13">
      <c r="A33" s="5" t="s">
        <v>17</v>
      </c>
      <c r="B33" s="10">
        <f>MAX(B23:D30)</f>
        <v>0.85</v>
      </c>
      <c r="C33" s="10">
        <f>B33-B31</f>
        <v>0.15958333333333341</v>
      </c>
      <c r="D33" s="97"/>
      <c r="E33" s="97"/>
      <c r="F33" s="101"/>
      <c r="G33" s="102"/>
      <c r="H33" s="102"/>
      <c r="I33" s="102"/>
      <c r="J33" s="102"/>
      <c r="K33" s="102"/>
      <c r="L33" s="102"/>
      <c r="M33" s="103"/>
    </row>
    <row r="35" spans="1:13">
      <c r="A35" s="11" t="s">
        <v>165</v>
      </c>
      <c r="B35" s="2">
        <v>1</v>
      </c>
      <c r="C35" s="2">
        <v>2</v>
      </c>
      <c r="D35" s="2">
        <v>3</v>
      </c>
    </row>
    <row r="36" spans="1:13">
      <c r="A36" s="1" t="s">
        <v>8</v>
      </c>
      <c r="B36" s="47">
        <v>3.18</v>
      </c>
      <c r="C36" s="47">
        <v>3.13</v>
      </c>
      <c r="D36" s="47">
        <v>3.18</v>
      </c>
      <c r="E36" s="3"/>
    </row>
    <row r="37" spans="1:13">
      <c r="A37" s="1" t="s">
        <v>9</v>
      </c>
      <c r="B37" s="47">
        <v>2.96</v>
      </c>
      <c r="C37" s="47">
        <v>3</v>
      </c>
      <c r="D37" s="47">
        <v>3.03</v>
      </c>
      <c r="E37" s="3"/>
    </row>
    <row r="38" spans="1:13">
      <c r="A38" s="1" t="s">
        <v>21</v>
      </c>
      <c r="B38" s="47">
        <v>2.96</v>
      </c>
      <c r="C38" s="47">
        <v>2.91</v>
      </c>
      <c r="D38" s="47">
        <v>2.93</v>
      </c>
      <c r="E38" s="3"/>
    </row>
    <row r="39" spans="1:13">
      <c r="A39" s="1" t="s">
        <v>22</v>
      </c>
      <c r="B39" s="47">
        <v>3.23</v>
      </c>
      <c r="C39" s="47">
        <v>3.15</v>
      </c>
      <c r="D39" s="47">
        <v>3.08</v>
      </c>
      <c r="E39" s="3"/>
    </row>
    <row r="40" spans="1:13">
      <c r="A40" s="1" t="s">
        <v>10</v>
      </c>
      <c r="B40" s="47">
        <v>3.25</v>
      </c>
      <c r="C40" s="47">
        <v>3.25</v>
      </c>
      <c r="D40" s="47">
        <v>3.22</v>
      </c>
      <c r="E40" s="3"/>
    </row>
    <row r="41" spans="1:13">
      <c r="A41" s="1" t="s">
        <v>11</v>
      </c>
      <c r="B41" s="47">
        <v>2.95</v>
      </c>
      <c r="C41" s="47">
        <v>2.97</v>
      </c>
      <c r="D41" s="47">
        <v>2.95</v>
      </c>
      <c r="E41" s="3"/>
    </row>
    <row r="42" spans="1:13">
      <c r="A42" s="1" t="s">
        <v>12</v>
      </c>
      <c r="B42" s="47">
        <v>3.01</v>
      </c>
      <c r="C42" s="47">
        <v>3.03</v>
      </c>
      <c r="D42" s="47">
        <v>3.03</v>
      </c>
      <c r="E42" s="3"/>
    </row>
    <row r="43" spans="1:13">
      <c r="A43" s="1" t="s">
        <v>13</v>
      </c>
      <c r="B43" s="47">
        <v>3.1</v>
      </c>
      <c r="C43" s="47">
        <v>3.09</v>
      </c>
      <c r="D43" s="47">
        <v>3.08</v>
      </c>
      <c r="E43" s="3"/>
    </row>
    <row r="44" spans="1:13">
      <c r="A44" s="5" t="s">
        <v>23</v>
      </c>
      <c r="B44" s="4">
        <f>AVERAGE(B36:D43)</f>
        <v>3.0695833333333336</v>
      </c>
      <c r="C44" s="2" t="s">
        <v>26</v>
      </c>
      <c r="D44"/>
      <c r="E44"/>
    </row>
    <row r="45" spans="1:13" ht="15" customHeight="1">
      <c r="A45" s="5" t="s">
        <v>24</v>
      </c>
      <c r="B45" s="10">
        <f>MIN(B36:D43)</f>
        <v>2.91</v>
      </c>
      <c r="C45" s="10">
        <f>B31</f>
        <v>0.69041666666666657</v>
      </c>
      <c r="D45" s="94" t="s">
        <v>168</v>
      </c>
      <c r="E45" s="94"/>
      <c r="F45" s="94"/>
      <c r="G45" s="94"/>
      <c r="H45" s="94"/>
      <c r="I45" s="94"/>
      <c r="J45" s="94"/>
      <c r="K45" s="94"/>
      <c r="L45" s="94"/>
      <c r="M45" s="94"/>
    </row>
    <row r="46" spans="1:13">
      <c r="A46" s="5" t="s">
        <v>25</v>
      </c>
      <c r="B46" s="10">
        <f>MAX(B36:D43)</f>
        <v>3.25</v>
      </c>
      <c r="C46" s="10">
        <f>MAX(0.05*B9,3.2)</f>
        <v>3.2630416666666662</v>
      </c>
      <c r="D46" s="94"/>
      <c r="E46" s="94"/>
      <c r="F46" s="94"/>
      <c r="G46" s="94"/>
      <c r="H46" s="94"/>
      <c r="I46" s="94"/>
      <c r="J46" s="94"/>
      <c r="K46" s="94"/>
      <c r="L46" s="94"/>
      <c r="M46" s="94"/>
    </row>
    <row r="48" spans="1:13">
      <c r="A48" s="11" t="s">
        <v>171</v>
      </c>
      <c r="B48" s="2">
        <v>1</v>
      </c>
      <c r="C48" s="2">
        <v>2</v>
      </c>
      <c r="D48" s="2">
        <v>3</v>
      </c>
    </row>
    <row r="49" spans="1:13">
      <c r="A49" s="1" t="s">
        <v>8</v>
      </c>
      <c r="B49" s="47">
        <v>63.48</v>
      </c>
      <c r="C49" s="47">
        <v>63.68</v>
      </c>
      <c r="D49" s="47">
        <v>63.44</v>
      </c>
      <c r="E49" s="3"/>
    </row>
    <row r="50" spans="1:13">
      <c r="A50" s="5" t="s">
        <v>28</v>
      </c>
      <c r="B50" s="4">
        <f>AVERAGE(B49:D49)</f>
        <v>63.533333333333331</v>
      </c>
      <c r="C50" s="2" t="s">
        <v>26</v>
      </c>
      <c r="D50"/>
      <c r="E50"/>
    </row>
    <row r="51" spans="1:13" ht="15" customHeight="1">
      <c r="A51" s="5" t="s">
        <v>29</v>
      </c>
      <c r="B51" s="10">
        <f>MIN(B49:D49)</f>
        <v>63.44</v>
      </c>
      <c r="C51" s="10">
        <f>0.9*B9</f>
        <v>58.734749999999991</v>
      </c>
      <c r="D51" s="94" t="s">
        <v>169</v>
      </c>
      <c r="E51" s="94"/>
      <c r="F51" s="94"/>
      <c r="G51" s="94"/>
      <c r="H51" s="94"/>
      <c r="I51" s="94"/>
      <c r="J51" s="94"/>
      <c r="K51" s="94"/>
      <c r="L51" s="94"/>
      <c r="M51" s="94"/>
    </row>
    <row r="52" spans="1:13">
      <c r="A52" s="5" t="s">
        <v>30</v>
      </c>
      <c r="B52" s="10">
        <f>MAX(B49:D49)</f>
        <v>63.68</v>
      </c>
      <c r="C52" s="10">
        <f>1.1*B9</f>
        <v>71.786916666666656</v>
      </c>
      <c r="D52" s="94"/>
      <c r="E52" s="94"/>
      <c r="F52" s="94"/>
      <c r="G52" s="94"/>
      <c r="H52" s="94"/>
      <c r="I52" s="94"/>
      <c r="J52" s="94"/>
      <c r="K52" s="94"/>
      <c r="L52" s="94"/>
      <c r="M52" s="94"/>
    </row>
    <row r="54" spans="1:13">
      <c r="A54" s="11" t="s">
        <v>172</v>
      </c>
      <c r="B54" s="2">
        <v>1</v>
      </c>
      <c r="C54" s="2">
        <v>2</v>
      </c>
      <c r="D54" s="2">
        <v>3</v>
      </c>
    </row>
    <row r="55" spans="1:13">
      <c r="A55" s="1" t="s">
        <v>8</v>
      </c>
      <c r="B55" s="47">
        <v>33.39</v>
      </c>
      <c r="C55" s="47">
        <v>33.47</v>
      </c>
      <c r="D55" s="47">
        <v>33.46</v>
      </c>
      <c r="E55" s="3"/>
    </row>
    <row r="56" spans="1:13">
      <c r="A56" s="5" t="s">
        <v>56</v>
      </c>
      <c r="B56" s="4">
        <f>AVERAGE(B55:D55)</f>
        <v>33.44</v>
      </c>
      <c r="C56" s="2" t="s">
        <v>26</v>
      </c>
      <c r="D56"/>
      <c r="E56"/>
    </row>
    <row r="57" spans="1:13" ht="15" customHeight="1">
      <c r="A57" s="5" t="s">
        <v>150</v>
      </c>
      <c r="B57" s="10">
        <f>MIN(B55:D55)</f>
        <v>33.39</v>
      </c>
      <c r="C57" s="10">
        <f>0.48*B9</f>
        <v>31.325199999999995</v>
      </c>
      <c r="D57" s="94" t="s">
        <v>170</v>
      </c>
      <c r="E57" s="94"/>
      <c r="F57" s="94"/>
      <c r="G57" s="94"/>
      <c r="H57" s="94"/>
      <c r="I57" s="94"/>
      <c r="J57" s="94"/>
      <c r="K57" s="94"/>
      <c r="L57" s="94"/>
      <c r="M57" s="94"/>
    </row>
    <row r="58" spans="1:13">
      <c r="A58" s="5" t="s">
        <v>151</v>
      </c>
      <c r="B58" s="10">
        <f>MAX(B55:D55)</f>
        <v>33.47</v>
      </c>
      <c r="C58" s="10">
        <f>0.52*B9</f>
        <v>33.935633333333328</v>
      </c>
      <c r="D58" s="94"/>
      <c r="E58" s="94"/>
      <c r="F58" s="94"/>
      <c r="G58" s="94"/>
      <c r="H58" s="94"/>
      <c r="I58" s="94"/>
      <c r="J58" s="94"/>
      <c r="K58" s="94"/>
      <c r="L58" s="94"/>
      <c r="M58" s="94"/>
    </row>
    <row r="60" spans="1:13" s="73" customFormat="1">
      <c r="A60" s="1" t="s">
        <v>51</v>
      </c>
      <c r="B60" s="47">
        <v>100</v>
      </c>
      <c r="C60" s="47">
        <v>100</v>
      </c>
      <c r="D60" s="47">
        <v>100</v>
      </c>
      <c r="E60" s="73" t="s">
        <v>53</v>
      </c>
    </row>
    <row r="61" spans="1:13" s="73" customFormat="1">
      <c r="A61" s="1"/>
      <c r="B61" s="74"/>
      <c r="E61" s="93" t="s">
        <v>52</v>
      </c>
      <c r="F61" s="93"/>
      <c r="G61" s="93"/>
      <c r="H61" s="93"/>
      <c r="I61" s="93"/>
      <c r="J61" s="93"/>
      <c r="K61" s="93"/>
      <c r="L61" s="93"/>
    </row>
    <row r="63" spans="1:13">
      <c r="A63" s="1" t="s">
        <v>246</v>
      </c>
      <c r="B63" s="47">
        <v>52.898400000000002</v>
      </c>
      <c r="C63" s="47">
        <v>52.898400000000002</v>
      </c>
      <c r="D63" s="47">
        <v>52.898400000000002</v>
      </c>
      <c r="E63" s="7" t="s">
        <v>247</v>
      </c>
      <c r="F63" s="73" t="s">
        <v>249</v>
      </c>
    </row>
    <row r="64" spans="1:13">
      <c r="E64" s="7"/>
    </row>
    <row r="65" spans="1:6">
      <c r="A65" s="1" t="s">
        <v>248</v>
      </c>
      <c r="B65" s="47">
        <v>10</v>
      </c>
      <c r="C65" s="47">
        <v>10</v>
      </c>
      <c r="D65" s="47">
        <v>10</v>
      </c>
      <c r="E65" s="7" t="s">
        <v>226</v>
      </c>
      <c r="F65" s="73" t="s">
        <v>250</v>
      </c>
    </row>
  </sheetData>
  <sheetProtection sheet="1" objects="1" scenarios="1" selectLockedCells="1"/>
  <mergeCells count="9">
    <mergeCell ref="E61:L61"/>
    <mergeCell ref="D45:M46"/>
    <mergeCell ref="D51:M52"/>
    <mergeCell ref="D57:M58"/>
    <mergeCell ref="D10:M11"/>
    <mergeCell ref="D19:M20"/>
    <mergeCell ref="D31:E31"/>
    <mergeCell ref="D32:E33"/>
    <mergeCell ref="F32:M33"/>
  </mergeCells>
  <hyperlinks>
    <hyperlink ref="E61" r:id="rId1"/>
  </hyperlinks>
  <pageMargins left="0.7" right="0.7" top="0.75" bottom="0.75" header="0.3" footer="0.3"/>
  <pageSetup paperSize="9" orientation="portrait" horizontalDpi="4294967293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M68"/>
  <sheetViews>
    <sheetView workbookViewId="0">
      <selection activeCell="B2" sqref="B2"/>
    </sheetView>
  </sheetViews>
  <sheetFormatPr defaultRowHeight="15"/>
  <cols>
    <col min="1" max="1" width="57.140625" bestFit="1" customWidth="1"/>
    <col min="2" max="2" width="9.5703125" style="2" bestFit="1" customWidth="1"/>
    <col min="3" max="3" width="9.140625" style="2"/>
    <col min="4" max="4" width="10.28515625" style="2" bestFit="1" customWidth="1"/>
    <col min="5" max="5" width="10.5703125" style="2" customWidth="1"/>
  </cols>
  <sheetData>
    <row r="1" spans="1:5" ht="21">
      <c r="A1" s="6" t="s">
        <v>159</v>
      </c>
    </row>
    <row r="2" spans="1:5">
      <c r="A2" s="11" t="s">
        <v>60</v>
      </c>
      <c r="B2" s="48">
        <v>21</v>
      </c>
      <c r="C2" s="12" t="s">
        <v>45</v>
      </c>
      <c r="D2"/>
      <c r="E2"/>
    </row>
    <row r="3" spans="1:5">
      <c r="A3" s="1"/>
      <c r="B3" s="48">
        <v>23</v>
      </c>
      <c r="C3" s="12" t="s">
        <v>45</v>
      </c>
      <c r="D3"/>
      <c r="E3"/>
    </row>
    <row r="4" spans="1:5">
      <c r="A4" s="1"/>
      <c r="B4" s="48">
        <v>22</v>
      </c>
      <c r="C4" s="12" t="s">
        <v>45</v>
      </c>
      <c r="D4"/>
      <c r="E4"/>
    </row>
    <row r="5" spans="1:5">
      <c r="A5" s="5" t="s">
        <v>64</v>
      </c>
      <c r="B5" s="14">
        <f>AVERAGE(B2:B4)</f>
        <v>22</v>
      </c>
      <c r="C5" s="12" t="s">
        <v>45</v>
      </c>
    </row>
    <row r="6" spans="1:5">
      <c r="A6" s="5" t="s">
        <v>65</v>
      </c>
      <c r="B6" s="15">
        <f>MIN(B2:B4)</f>
        <v>21</v>
      </c>
      <c r="C6" s="12" t="s">
        <v>45</v>
      </c>
    </row>
    <row r="7" spans="1:5">
      <c r="A7" s="5" t="s">
        <v>66</v>
      </c>
      <c r="B7" s="15">
        <f>MAX(B2:B4)</f>
        <v>23</v>
      </c>
      <c r="C7" s="12" t="s">
        <v>45</v>
      </c>
    </row>
    <row r="8" spans="1:5">
      <c r="A8" s="5"/>
      <c r="B8" s="22"/>
      <c r="C8" s="12"/>
    </row>
    <row r="9" spans="1:5">
      <c r="C9" s="12"/>
    </row>
    <row r="10" spans="1:5">
      <c r="A10" s="11" t="s">
        <v>142</v>
      </c>
      <c r="B10" s="47">
        <v>276</v>
      </c>
      <c r="C10" s="12" t="s">
        <v>45</v>
      </c>
      <c r="D10"/>
      <c r="E10"/>
    </row>
    <row r="11" spans="1:5">
      <c r="A11" s="1"/>
      <c r="B11" s="47">
        <v>276</v>
      </c>
      <c r="C11" s="12" t="s">
        <v>45</v>
      </c>
      <c r="D11"/>
      <c r="E11"/>
    </row>
    <row r="12" spans="1:5">
      <c r="A12" s="1"/>
      <c r="B12" s="47">
        <v>275</v>
      </c>
      <c r="C12" s="12" t="s">
        <v>45</v>
      </c>
      <c r="D12"/>
      <c r="E12"/>
    </row>
    <row r="13" spans="1:5">
      <c r="A13" s="5" t="s">
        <v>46</v>
      </c>
      <c r="B13" s="14">
        <f>AVERAGE(B10:B12)</f>
        <v>275.66666666666669</v>
      </c>
      <c r="C13" s="12" t="s">
        <v>45</v>
      </c>
    </row>
    <row r="14" spans="1:5">
      <c r="A14" s="5" t="s">
        <v>47</v>
      </c>
      <c r="B14" s="15">
        <f>MIN(B10:B12)</f>
        <v>275</v>
      </c>
      <c r="C14" s="12" t="s">
        <v>45</v>
      </c>
    </row>
    <row r="15" spans="1:5">
      <c r="A15" s="5" t="s">
        <v>48</v>
      </c>
      <c r="B15" s="15">
        <f>MAX(B10:B12)</f>
        <v>276</v>
      </c>
      <c r="C15" s="12" t="s">
        <v>45</v>
      </c>
    </row>
    <row r="16" spans="1:5">
      <c r="C16" s="12"/>
    </row>
    <row r="17" spans="1:5">
      <c r="C17" s="12"/>
      <c r="D17"/>
      <c r="E17"/>
    </row>
    <row r="18" spans="1:5">
      <c r="A18" t="s">
        <v>42</v>
      </c>
      <c r="B18" s="47">
        <v>1012.6</v>
      </c>
      <c r="C18" s="17" t="s">
        <v>102</v>
      </c>
      <c r="D18"/>
      <c r="E18"/>
    </row>
    <row r="19" spans="1:5">
      <c r="A19" s="7" t="s">
        <v>182</v>
      </c>
      <c r="B19" s="47">
        <v>1012.7</v>
      </c>
      <c r="C19" s="17" t="s">
        <v>102</v>
      </c>
      <c r="D19"/>
      <c r="E19"/>
    </row>
    <row r="20" spans="1:5">
      <c r="A20" s="1"/>
      <c r="B20" s="47">
        <v>1012.7</v>
      </c>
      <c r="C20" s="17" t="s">
        <v>102</v>
      </c>
      <c r="D20" s="96" t="s">
        <v>245</v>
      </c>
      <c r="E20" s="96"/>
    </row>
    <row r="21" spans="1:5">
      <c r="A21" s="5" t="s">
        <v>97</v>
      </c>
      <c r="B21" s="18">
        <f>AVERAGE(B18:B20)</f>
        <v>1012.6666666666666</v>
      </c>
      <c r="C21" s="17" t="s">
        <v>102</v>
      </c>
      <c r="D21" s="20">
        <f>'Air Pressure'!C21</f>
        <v>1014.4242283371523</v>
      </c>
      <c r="E21" s="21">
        <f>D21*10.197162129779</f>
        <v>10344.248324729895</v>
      </c>
    </row>
    <row r="22" spans="1:5">
      <c r="A22" s="5" t="s">
        <v>98</v>
      </c>
      <c r="B22" s="26">
        <f>MIN(B18:B20)</f>
        <v>1012.6</v>
      </c>
      <c r="C22" s="17" t="s">
        <v>102</v>
      </c>
      <c r="D22" s="20">
        <f>'Air Pressure'!B21</f>
        <v>1014.3010402347758</v>
      </c>
      <c r="E22" s="21">
        <f t="shared" ref="E22:E23" si="0">D22*10.197162129779</f>
        <v>10342.992155677503</v>
      </c>
    </row>
    <row r="23" spans="1:5">
      <c r="A23" s="5" t="s">
        <v>99</v>
      </c>
      <c r="B23" s="26">
        <f>MAX(B18:B20)</f>
        <v>1012.7</v>
      </c>
      <c r="C23" s="17" t="s">
        <v>102</v>
      </c>
      <c r="D23" s="20">
        <f>'Air Pressure'!D21</f>
        <v>1014.5196124217166</v>
      </c>
      <c r="E23" s="21">
        <f t="shared" si="0"/>
        <v>10345.220971704797</v>
      </c>
    </row>
    <row r="24" spans="1:5">
      <c r="B24" s="34"/>
      <c r="C24" s="12"/>
      <c r="D24" s="34"/>
      <c r="E24" s="34"/>
    </row>
    <row r="25" spans="1:5">
      <c r="B25" s="34"/>
      <c r="C25" s="12"/>
      <c r="D25"/>
      <c r="E25"/>
    </row>
    <row r="26" spans="1:5" s="73" customFormat="1">
      <c r="A26" s="73" t="s">
        <v>244</v>
      </c>
      <c r="B26" s="47">
        <v>172</v>
      </c>
      <c r="C26" s="17" t="s">
        <v>45</v>
      </c>
    </row>
    <row r="27" spans="1:5" s="73" customFormat="1">
      <c r="A27" s="1"/>
      <c r="B27" s="47">
        <v>174</v>
      </c>
      <c r="C27" s="17" t="s">
        <v>45</v>
      </c>
    </row>
    <row r="28" spans="1:5" s="73" customFormat="1">
      <c r="A28" s="1"/>
      <c r="B28" s="47">
        <v>173</v>
      </c>
      <c r="C28" s="17" t="s">
        <v>45</v>
      </c>
      <c r="D28" s="96" t="s">
        <v>251</v>
      </c>
      <c r="E28" s="96"/>
    </row>
    <row r="29" spans="1:5">
      <c r="A29" s="5" t="s">
        <v>243</v>
      </c>
      <c r="B29" s="14">
        <f>(AVERAGE(D21:D23)*10.197162129779)+AVERAGE(B26:B28)</f>
        <v>10517.153817370732</v>
      </c>
      <c r="C29" s="12" t="s">
        <v>45</v>
      </c>
      <c r="D29" s="20">
        <f>B29/10.197162129779</f>
        <v>1031.3804648312155</v>
      </c>
      <c r="E29" s="21">
        <f>B29</f>
        <v>10517.153817370732</v>
      </c>
    </row>
    <row r="30" spans="1:5">
      <c r="A30" s="5" t="s">
        <v>43</v>
      </c>
      <c r="B30" s="23">
        <f>(MIN(D21:D23)*10.197162129779)+MIN(B26:B28)</f>
        <v>10514.992155677503</v>
      </c>
      <c r="C30" s="12" t="s">
        <v>45</v>
      </c>
      <c r="D30" s="20">
        <f t="shared" ref="D30:D31" si="1">B30/10.197162129779</f>
        <v>1031.1684782347763</v>
      </c>
      <c r="E30" s="21">
        <f t="shared" ref="E30:E31" si="2">B30</f>
        <v>10514.992155677503</v>
      </c>
    </row>
    <row r="31" spans="1:5">
      <c r="A31" s="5" t="s">
        <v>44</v>
      </c>
      <c r="B31" s="23">
        <f>(MAX(D21:D23)*10.197162129779)+MAX(B26:B28)</f>
        <v>10519.220971704797</v>
      </c>
      <c r="C31" s="12" t="s">
        <v>45</v>
      </c>
      <c r="D31" s="20">
        <f t="shared" si="1"/>
        <v>1031.583183421717</v>
      </c>
      <c r="E31" s="21">
        <f t="shared" si="2"/>
        <v>10519.220971704797</v>
      </c>
    </row>
    <row r="32" spans="1:5" s="73" customFormat="1">
      <c r="A32" s="5"/>
      <c r="B32" s="78"/>
      <c r="C32" s="12"/>
    </row>
    <row r="33" spans="1:13">
      <c r="C33" s="3"/>
      <c r="D33"/>
      <c r="E33"/>
    </row>
    <row r="34" spans="1:13">
      <c r="A34" t="s">
        <v>143</v>
      </c>
      <c r="B34" s="47">
        <v>101</v>
      </c>
      <c r="C34" s="17" t="s">
        <v>45</v>
      </c>
      <c r="D34"/>
      <c r="E34"/>
    </row>
    <row r="35" spans="1:13">
      <c r="A35" s="1"/>
      <c r="B35" s="47">
        <v>101</v>
      </c>
      <c r="C35" s="17" t="s">
        <v>45</v>
      </c>
      <c r="D35"/>
      <c r="E35"/>
    </row>
    <row r="36" spans="1:13">
      <c r="A36" s="1"/>
      <c r="B36" s="47">
        <v>100</v>
      </c>
      <c r="C36" s="17" t="s">
        <v>45</v>
      </c>
      <c r="D36" s="96" t="s">
        <v>252</v>
      </c>
      <c r="E36" s="96"/>
    </row>
    <row r="37" spans="1:13">
      <c r="A37" s="5" t="s">
        <v>144</v>
      </c>
      <c r="B37" s="14">
        <f>(AVERAGE(D21:D23)*10.197162129779)+(AVERAGE(B34:B36))</f>
        <v>10444.820484037398</v>
      </c>
      <c r="C37" s="17" t="s">
        <v>45</v>
      </c>
      <c r="D37" s="20">
        <f>B37/10.197162129779</f>
        <v>1024.2869879978819</v>
      </c>
      <c r="E37" s="21">
        <f>B37</f>
        <v>10444.820484037398</v>
      </c>
    </row>
    <row r="38" spans="1:13">
      <c r="A38" s="5" t="s">
        <v>145</v>
      </c>
      <c r="B38" s="23">
        <f>(MIN(D21:D23)*10.197162129779)+(MIN(B34:B36))</f>
        <v>10442.992155677503</v>
      </c>
      <c r="C38" s="17" t="s">
        <v>45</v>
      </c>
      <c r="D38" s="20">
        <f t="shared" ref="D38:D39" si="3">B38/10.197162129779</f>
        <v>1024.1076902347761</v>
      </c>
      <c r="E38" s="21">
        <f t="shared" ref="E38:E39" si="4">B38</f>
        <v>10442.992155677503</v>
      </c>
    </row>
    <row r="39" spans="1:13">
      <c r="A39" s="5" t="s">
        <v>146</v>
      </c>
      <c r="B39" s="23">
        <f>(MAX(D21:D23)*10.197162129779)+(MAX(B34:B36))</f>
        <v>10446.220971704797</v>
      </c>
      <c r="C39" s="17" t="s">
        <v>45</v>
      </c>
      <c r="D39" s="20">
        <f t="shared" si="3"/>
        <v>1024.4243289217168</v>
      </c>
      <c r="E39" s="21">
        <f t="shared" si="4"/>
        <v>10446.220971704797</v>
      </c>
    </row>
    <row r="40" spans="1:13">
      <c r="A40" s="1"/>
      <c r="B40"/>
      <c r="C40" s="17"/>
      <c r="E40"/>
    </row>
    <row r="41" spans="1:13">
      <c r="A41" s="11" t="s">
        <v>149</v>
      </c>
      <c r="B41" s="34"/>
      <c r="C41" s="3"/>
      <c r="D41"/>
      <c r="E41"/>
    </row>
    <row r="42" spans="1:13" ht="15" customHeight="1">
      <c r="A42" s="5" t="s">
        <v>147</v>
      </c>
      <c r="B42" s="16">
        <f>B37/B29</f>
        <v>0.99312234711126279</v>
      </c>
      <c r="C42" s="94" t="s">
        <v>185</v>
      </c>
      <c r="D42" s="94"/>
      <c r="E42" s="94"/>
      <c r="F42" s="94"/>
      <c r="G42" s="94"/>
      <c r="H42" s="94"/>
      <c r="I42" s="94"/>
      <c r="J42" s="94"/>
      <c r="K42" s="94"/>
      <c r="L42" s="94"/>
      <c r="M42" s="94"/>
    </row>
    <row r="43" spans="1:13">
      <c r="A43" s="5" t="s">
        <v>49</v>
      </c>
      <c r="B43" s="2">
        <f>B38/B30</f>
        <v>0.99315263397879716</v>
      </c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</row>
    <row r="44" spans="1:13">
      <c r="A44" s="5" t="s">
        <v>50</v>
      </c>
      <c r="B44" s="2">
        <f>B39/B31</f>
        <v>0.99306032260408261</v>
      </c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</row>
    <row r="45" spans="1:13">
      <c r="C45" s="3"/>
      <c r="D45"/>
      <c r="E45"/>
    </row>
    <row r="46" spans="1:13">
      <c r="C46" s="3"/>
      <c r="D46"/>
      <c r="E46"/>
    </row>
    <row r="47" spans="1:13">
      <c r="A47" t="s">
        <v>54</v>
      </c>
      <c r="B47" s="47">
        <v>11.7</v>
      </c>
      <c r="C47" s="17" t="s">
        <v>27</v>
      </c>
      <c r="D47"/>
      <c r="E47"/>
    </row>
    <row r="48" spans="1:13">
      <c r="A48" s="1"/>
      <c r="B48" s="47">
        <v>12</v>
      </c>
      <c r="C48" s="17" t="s">
        <v>27</v>
      </c>
      <c r="D48"/>
      <c r="E48"/>
    </row>
    <row r="49" spans="1:5">
      <c r="A49" s="1"/>
      <c r="B49" s="47">
        <v>12.4</v>
      </c>
      <c r="C49" s="17" t="s">
        <v>27</v>
      </c>
      <c r="D49"/>
      <c r="E49"/>
    </row>
    <row r="50" spans="1:5">
      <c r="A50" s="5" t="s">
        <v>128</v>
      </c>
      <c r="B50" s="18">
        <f>AVERAGE(B47:B49)</f>
        <v>12.033333333333333</v>
      </c>
      <c r="C50" s="17" t="s">
        <v>27</v>
      </c>
      <c r="D50"/>
      <c r="E50"/>
    </row>
    <row r="51" spans="1:5">
      <c r="A51" s="5" t="s">
        <v>129</v>
      </c>
      <c r="B51" s="19">
        <f>MIN(B47:B49)</f>
        <v>11.7</v>
      </c>
      <c r="C51" s="17" t="s">
        <v>27</v>
      </c>
      <c r="D51"/>
      <c r="E51"/>
    </row>
    <row r="52" spans="1:5">
      <c r="A52" s="5" t="s">
        <v>130</v>
      </c>
      <c r="B52" s="19">
        <f>MAX(B47:B49)</f>
        <v>12.4</v>
      </c>
      <c r="C52" s="17" t="s">
        <v>27</v>
      </c>
      <c r="D52"/>
      <c r="E52"/>
    </row>
    <row r="53" spans="1:5">
      <c r="C53" s="3"/>
      <c r="D53"/>
      <c r="E53"/>
    </row>
    <row r="54" spans="1:5">
      <c r="C54" s="3"/>
      <c r="D54"/>
      <c r="E54"/>
    </row>
    <row r="55" spans="1:5">
      <c r="A55" t="s">
        <v>55</v>
      </c>
      <c r="B55" s="47">
        <v>23.6</v>
      </c>
      <c r="C55" s="17" t="s">
        <v>27</v>
      </c>
      <c r="D55"/>
      <c r="E55"/>
    </row>
    <row r="56" spans="1:5">
      <c r="A56" s="7" t="s">
        <v>141</v>
      </c>
      <c r="B56" s="47">
        <v>24.2</v>
      </c>
      <c r="C56" s="17" t="s">
        <v>27</v>
      </c>
      <c r="D56"/>
      <c r="E56"/>
    </row>
    <row r="57" spans="1:5">
      <c r="A57" s="7" t="s">
        <v>148</v>
      </c>
      <c r="B57" s="47">
        <v>24.7</v>
      </c>
      <c r="C57" s="17" t="s">
        <v>27</v>
      </c>
      <c r="D57"/>
      <c r="E57"/>
    </row>
    <row r="58" spans="1:5">
      <c r="A58" s="5" t="s">
        <v>67</v>
      </c>
      <c r="B58" s="18">
        <f>AVERAGE(B55:B57)</f>
        <v>24.166666666666668</v>
      </c>
      <c r="C58" s="17" t="s">
        <v>27</v>
      </c>
      <c r="D58"/>
      <c r="E58"/>
    </row>
    <row r="59" spans="1:5">
      <c r="A59" s="5" t="s">
        <v>68</v>
      </c>
      <c r="B59" s="19">
        <f>MIN(B55:B57)</f>
        <v>23.6</v>
      </c>
      <c r="C59" s="17" t="s">
        <v>27</v>
      </c>
      <c r="D59"/>
      <c r="E59"/>
    </row>
    <row r="60" spans="1:5">
      <c r="A60" s="5" t="s">
        <v>69</v>
      </c>
      <c r="B60" s="19">
        <f>MAX(B55:B57)</f>
        <v>24.7</v>
      </c>
      <c r="C60" s="17" t="s">
        <v>27</v>
      </c>
      <c r="D60"/>
      <c r="E60"/>
    </row>
    <row r="61" spans="1:5">
      <c r="C61" s="3"/>
      <c r="D61"/>
      <c r="E61"/>
    </row>
    <row r="63" spans="1:5">
      <c r="A63" s="11" t="s">
        <v>186</v>
      </c>
      <c r="B63" s="47">
        <v>82</v>
      </c>
      <c r="C63" s="7" t="s">
        <v>58</v>
      </c>
    </row>
    <row r="64" spans="1:5">
      <c r="B64" s="47">
        <v>82</v>
      </c>
      <c r="C64" s="7" t="s">
        <v>58</v>
      </c>
    </row>
    <row r="65" spans="1:3">
      <c r="B65" s="47">
        <v>82</v>
      </c>
      <c r="C65" s="7" t="s">
        <v>58</v>
      </c>
    </row>
    <row r="66" spans="1:3">
      <c r="A66" s="1" t="s">
        <v>187</v>
      </c>
      <c r="B66" s="18">
        <f>AVERAGE(B63:B65)</f>
        <v>82</v>
      </c>
    </row>
    <row r="67" spans="1:3">
      <c r="A67" s="1" t="s">
        <v>188</v>
      </c>
      <c r="B67" s="19">
        <f>MIN(B63:B65)</f>
        <v>82</v>
      </c>
    </row>
    <row r="68" spans="1:3">
      <c r="A68" s="1" t="s">
        <v>189</v>
      </c>
      <c r="B68" s="19">
        <f>MAX(B63:B65)</f>
        <v>82</v>
      </c>
    </row>
  </sheetData>
  <sheetProtection sheet="1" objects="1" scenarios="1" selectLockedCells="1"/>
  <mergeCells count="4">
    <mergeCell ref="C42:M44"/>
    <mergeCell ref="D28:E28"/>
    <mergeCell ref="D20:E20"/>
    <mergeCell ref="D36:E36"/>
  </mergeCells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8"/>
  <sheetViews>
    <sheetView workbookViewId="0">
      <selection activeCell="B5" sqref="B5"/>
    </sheetView>
  </sheetViews>
  <sheetFormatPr defaultRowHeight="15"/>
  <cols>
    <col min="1" max="1" width="44.42578125" style="1" bestFit="1" customWidth="1"/>
    <col min="2" max="2" width="13.42578125" style="74" bestFit="1" customWidth="1"/>
    <col min="3" max="4" width="13.42578125" style="73" bestFit="1" customWidth="1"/>
    <col min="5" max="5" width="9.140625" style="73"/>
    <col min="6" max="6" width="11.5703125" style="73" bestFit="1" customWidth="1"/>
    <col min="7" max="9" width="9.140625" style="73"/>
    <col min="10" max="10" width="10.140625" style="73" customWidth="1"/>
    <col min="11" max="16384" width="9.140625" style="73"/>
  </cols>
  <sheetData>
    <row r="1" spans="1:11">
      <c r="B1" s="74" t="s">
        <v>183</v>
      </c>
      <c r="C1" s="74" t="s">
        <v>89</v>
      </c>
      <c r="D1" s="74" t="s">
        <v>88</v>
      </c>
    </row>
    <row r="3" spans="1:11">
      <c r="A3" s="1" t="s">
        <v>105</v>
      </c>
      <c r="B3" s="20">
        <f>'Inputs - Variables'!$B$59</f>
        <v>23.6</v>
      </c>
      <c r="C3" s="20">
        <f>'Inputs - Variables'!$B$58</f>
        <v>24.166666666666668</v>
      </c>
      <c r="D3" s="20">
        <f>'Inputs - Variables'!$B$60</f>
        <v>24.7</v>
      </c>
      <c r="E3" s="73" t="s">
        <v>27</v>
      </c>
    </row>
    <row r="4" spans="1:11">
      <c r="A4" s="1" t="s">
        <v>106</v>
      </c>
      <c r="B4" s="20">
        <f>'Inputs - Variables'!$B$30/10.197162129779</f>
        <v>1031.1684782347763</v>
      </c>
      <c r="C4" s="20">
        <f>'Inputs - Variables'!$B$29/10.197162129779</f>
        <v>1031.3804648312155</v>
      </c>
      <c r="D4" s="20">
        <f>'Inputs - Variables'!$B$31/10.197162129779</f>
        <v>1031.583183421717</v>
      </c>
      <c r="E4" s="73" t="s">
        <v>102</v>
      </c>
    </row>
    <row r="5" spans="1:11">
      <c r="A5" s="1" t="s">
        <v>190</v>
      </c>
      <c r="B5" s="49">
        <v>1.8120528E-5</v>
      </c>
      <c r="C5" s="49">
        <v>1.8120528E-5</v>
      </c>
      <c r="D5" s="49">
        <v>1.8120528E-5</v>
      </c>
      <c r="E5" s="73" t="s">
        <v>63</v>
      </c>
      <c r="F5" s="104" t="s">
        <v>192</v>
      </c>
      <c r="G5" s="104"/>
      <c r="H5" s="104"/>
      <c r="I5" s="104"/>
      <c r="J5" s="104"/>
      <c r="K5" s="104"/>
    </row>
    <row r="7" spans="1:11">
      <c r="A7" s="1" t="s">
        <v>105</v>
      </c>
      <c r="B7" s="20">
        <f>'Inputs - Variables'!$B$59</f>
        <v>23.6</v>
      </c>
      <c r="C7" s="20">
        <f>'Inputs - Variables'!$B$58</f>
        <v>24.166666666666668</v>
      </c>
      <c r="D7" s="20">
        <f>'Inputs - Variables'!$B$60</f>
        <v>24.7</v>
      </c>
      <c r="E7" s="73" t="s">
        <v>27</v>
      </c>
    </row>
    <row r="8" spans="1:11">
      <c r="A8" s="1" t="s">
        <v>191</v>
      </c>
      <c r="B8" s="50">
        <v>1.401</v>
      </c>
      <c r="C8" s="50">
        <v>1.401</v>
      </c>
      <c r="D8" s="50">
        <v>1.401</v>
      </c>
      <c r="E8" s="105" t="s">
        <v>61</v>
      </c>
      <c r="F8" s="93"/>
      <c r="G8" s="93"/>
      <c r="H8" s="93"/>
      <c r="I8" s="93"/>
      <c r="J8" s="93"/>
      <c r="K8" s="93"/>
    </row>
  </sheetData>
  <sheetProtection sheet="1" objects="1" scenarios="1" selectLockedCells="1"/>
  <mergeCells count="2">
    <mergeCell ref="F5:K5"/>
    <mergeCell ref="E8:K8"/>
  </mergeCells>
  <hyperlinks>
    <hyperlink ref="E8" r:id="rId1"/>
    <hyperlink ref="F5" r:id="rId2"/>
    <hyperlink ref="F5:K5" r:id="rId3" display="http://www.peacesoftware.de/einigewerte/luft_e.html"/>
  </hyperlinks>
  <pageMargins left="0.7" right="0.7" top="0.75" bottom="0.75" header="0.3" footer="0.3"/>
  <pageSetup paperSize="9" orientation="portrait" horizontalDpi="4294967293" verticalDpi="0" r:id="rId4"/>
</worksheet>
</file>

<file path=xl/worksheets/sheet6.xml><?xml version="1.0" encoding="utf-8"?>
<worksheet xmlns="http://schemas.openxmlformats.org/spreadsheetml/2006/main" xmlns:r="http://schemas.openxmlformats.org/officeDocument/2006/relationships">
  <dimension ref="A1:E21"/>
  <sheetViews>
    <sheetView workbookViewId="0">
      <selection activeCell="B1" sqref="B1:D1"/>
    </sheetView>
  </sheetViews>
  <sheetFormatPr defaultColWidth="9" defaultRowHeight="15"/>
  <cols>
    <col min="1" max="1" width="22.140625" bestFit="1" customWidth="1"/>
    <col min="2" max="4" width="12" bestFit="1" customWidth="1"/>
    <col min="5" max="5" width="8.28515625" bestFit="1" customWidth="1"/>
  </cols>
  <sheetData>
    <row r="1" spans="1:5">
      <c r="A1" s="73"/>
      <c r="B1" s="106" t="s">
        <v>217</v>
      </c>
      <c r="C1" s="106"/>
      <c r="D1" s="106"/>
      <c r="E1" s="73"/>
    </row>
    <row r="2" spans="1:5">
      <c r="A2" s="73"/>
      <c r="B2" s="79" t="s">
        <v>87</v>
      </c>
      <c r="C2" s="79" t="s">
        <v>89</v>
      </c>
      <c r="D2" s="79" t="s">
        <v>88</v>
      </c>
      <c r="E2" s="73"/>
    </row>
    <row r="3" spans="1:5">
      <c r="A3" s="73" t="s">
        <v>222</v>
      </c>
      <c r="B3" s="79">
        <f>'Inputs - Constants'!B63</f>
        <v>52.898400000000002</v>
      </c>
      <c r="C3" s="79">
        <f>'Inputs - Constants'!C63</f>
        <v>52.898400000000002</v>
      </c>
      <c r="D3" s="79">
        <f>'Inputs - Constants'!D63</f>
        <v>52.898400000000002</v>
      </c>
      <c r="E3" s="73" t="s">
        <v>223</v>
      </c>
    </row>
    <row r="4" spans="1:5">
      <c r="A4" s="73" t="s">
        <v>224</v>
      </c>
      <c r="B4" s="79">
        <f>'Inputs - Variables'!B51</f>
        <v>11.7</v>
      </c>
      <c r="C4" s="79">
        <f>'Inputs - Variables'!B50</f>
        <v>12.033333333333333</v>
      </c>
      <c r="D4" s="79">
        <f>'Inputs - Variables'!B52</f>
        <v>12.4</v>
      </c>
      <c r="E4" s="73" t="s">
        <v>27</v>
      </c>
    </row>
    <row r="5" spans="1:5">
      <c r="A5" s="73" t="s">
        <v>225</v>
      </c>
      <c r="B5" s="79">
        <f>'Inputs - Constants'!B65</f>
        <v>10</v>
      </c>
      <c r="C5" s="79">
        <f>'Inputs - Constants'!C65</f>
        <v>10</v>
      </c>
      <c r="D5" s="79">
        <f>'Inputs - Constants'!D65</f>
        <v>10</v>
      </c>
      <c r="E5" s="73" t="s">
        <v>226</v>
      </c>
    </row>
    <row r="6" spans="1:5">
      <c r="A6" s="73" t="s">
        <v>227</v>
      </c>
      <c r="B6" s="79">
        <f>'Inputs - Variables'!B22</f>
        <v>1012.6</v>
      </c>
      <c r="C6" s="79">
        <f>'Inputs - Variables'!B21</f>
        <v>1012.6666666666666</v>
      </c>
      <c r="D6" s="79">
        <f>'Inputs - Variables'!B23</f>
        <v>1012.7</v>
      </c>
      <c r="E6" s="73" t="s">
        <v>102</v>
      </c>
    </row>
    <row r="8" spans="1:5">
      <c r="A8" s="73" t="s">
        <v>228</v>
      </c>
      <c r="B8" s="79">
        <f>B3</f>
        <v>52.898400000000002</v>
      </c>
      <c r="C8" s="79">
        <f t="shared" ref="C8:D8" si="0">C3</f>
        <v>52.898400000000002</v>
      </c>
      <c r="D8" s="79">
        <f t="shared" si="0"/>
        <v>52.898400000000002</v>
      </c>
      <c r="E8" s="73" t="s">
        <v>223</v>
      </c>
    </row>
    <row r="9" spans="1:5">
      <c r="A9" s="73" t="s">
        <v>229</v>
      </c>
      <c r="B9" s="26">
        <f>(9*B4/5)+32</f>
        <v>53.06</v>
      </c>
      <c r="C9" s="26">
        <f t="shared" ref="C9:D9" si="1">(9*C4/5)+32</f>
        <v>53.66</v>
      </c>
      <c r="D9" s="26">
        <f t="shared" si="1"/>
        <v>54.32</v>
      </c>
      <c r="E9" s="73" t="s">
        <v>230</v>
      </c>
    </row>
    <row r="10" spans="1:5">
      <c r="A10" s="73" t="s">
        <v>231</v>
      </c>
      <c r="B10" s="79">
        <f>B5*3.28084</f>
        <v>32.808399999999999</v>
      </c>
      <c r="C10" s="79">
        <f t="shared" ref="C10:D10" si="2">C5*3.28084</f>
        <v>32.808399999999999</v>
      </c>
      <c r="D10" s="79">
        <f t="shared" si="2"/>
        <v>32.808399999999999</v>
      </c>
      <c r="E10" s="73" t="s">
        <v>232</v>
      </c>
    </row>
    <row r="11" spans="1:5">
      <c r="A11" s="73" t="s">
        <v>233</v>
      </c>
      <c r="B11" s="79">
        <f>B6*0.02953</f>
        <v>29.902078000000003</v>
      </c>
      <c r="C11" s="79">
        <f t="shared" ref="C11:D11" si="3">C6*0.02953</f>
        <v>29.904046666666666</v>
      </c>
      <c r="D11" s="79">
        <f t="shared" si="3"/>
        <v>29.905031000000001</v>
      </c>
      <c r="E11" s="73" t="s">
        <v>234</v>
      </c>
    </row>
    <row r="12" spans="1:5">
      <c r="A12" s="73" t="s">
        <v>228</v>
      </c>
      <c r="B12" s="79">
        <f>B8*PI()/180</f>
        <v>0.92325124903696842</v>
      </c>
      <c r="C12" s="79">
        <f t="shared" ref="C12:D12" si="4">C8*PI()/180</f>
        <v>0.92325124903696842</v>
      </c>
      <c r="D12" s="79">
        <f t="shared" si="4"/>
        <v>0.92325124903696842</v>
      </c>
      <c r="E12" s="73" t="s">
        <v>235</v>
      </c>
    </row>
    <row r="13" spans="1:5">
      <c r="A13" s="73" t="s">
        <v>229</v>
      </c>
      <c r="B13" s="10">
        <f>B9+459.67</f>
        <v>512.73</v>
      </c>
      <c r="C13" s="10">
        <f t="shared" ref="C13:D13" si="5">C9+459.67</f>
        <v>513.33000000000004</v>
      </c>
      <c r="D13" s="10">
        <f t="shared" si="5"/>
        <v>513.99</v>
      </c>
      <c r="E13" s="73" t="s">
        <v>236</v>
      </c>
    </row>
    <row r="14" spans="1:5">
      <c r="A14" s="73" t="s">
        <v>237</v>
      </c>
      <c r="B14" s="26">
        <f>B9</f>
        <v>53.06</v>
      </c>
      <c r="C14" s="26">
        <f t="shared" ref="C14:D14" si="6">C9</f>
        <v>53.66</v>
      </c>
      <c r="D14" s="26">
        <f t="shared" si="6"/>
        <v>54.32</v>
      </c>
      <c r="E14" s="73" t="s">
        <v>230</v>
      </c>
    </row>
    <row r="15" spans="1:5">
      <c r="A15" s="73" t="s">
        <v>238</v>
      </c>
      <c r="B15" s="79">
        <f>B11*((-0.002637*COS(2*B12))+(0.000006*(COS(2*B12))^2)-0.00005)</f>
        <v>1.9983736361890016E-2</v>
      </c>
      <c r="C15" s="79">
        <f t="shared" ref="C15:D15" si="7">C11*((-0.002637*COS(2*C12))+(0.000006*(COS(2*C12))^2)-0.00005)</f>
        <v>1.9985052033518292E-2</v>
      </c>
      <c r="D15" s="79">
        <f t="shared" si="7"/>
        <v>1.998570986933243E-2</v>
      </c>
      <c r="E15" s="73" t="s">
        <v>234</v>
      </c>
    </row>
    <row r="16" spans="1:5">
      <c r="A16" s="73" t="s">
        <v>239</v>
      </c>
      <c r="B16" s="79">
        <f>B11*((B14-28.63)/((1.1123*B14)+10978))</f>
        <v>6.6187055535531322E-2</v>
      </c>
      <c r="C16" s="79">
        <f t="shared" ref="C16:D16" si="8">C11*((C14-28.63)/((1.1123*C14)+10978))</f>
        <v>6.7812971563607896E-2</v>
      </c>
      <c r="D16" s="79">
        <f t="shared" si="8"/>
        <v>6.9598750267209436E-2</v>
      </c>
      <c r="E16" s="73" t="s">
        <v>234</v>
      </c>
    </row>
    <row r="17" spans="1:5">
      <c r="A17" s="73" t="s">
        <v>240</v>
      </c>
      <c r="B17" s="79">
        <f>-29.92126*(1-(1/(10^((0.008135*B10)/((B13+(0.00178308*B10)))))))</f>
        <v>-3.5837663227181196E-2</v>
      </c>
      <c r="C17" s="79">
        <f t="shared" ref="C17:D17" si="9">-29.92126*(1-(1/(10^((0.008135*C10)/((C13+(0.00178308*C10)))))))</f>
        <v>-3.5795804613937547E-2</v>
      </c>
      <c r="D17" s="79">
        <f t="shared" si="9"/>
        <v>-3.5749872932936001E-2</v>
      </c>
      <c r="E17" s="73" t="s">
        <v>234</v>
      </c>
    </row>
    <row r="19" spans="1:5">
      <c r="A19" s="73" t="s">
        <v>241</v>
      </c>
      <c r="B19" s="79">
        <f>B15+B16+B17</f>
        <v>5.0333128670240146E-2</v>
      </c>
      <c r="C19" s="79">
        <f t="shared" ref="C19:D19" si="10">C15+C16+C17</f>
        <v>5.2002218983188638E-2</v>
      </c>
      <c r="D19" s="79">
        <f t="shared" si="10"/>
        <v>5.3834587203605865E-2</v>
      </c>
      <c r="E19" s="73" t="s">
        <v>234</v>
      </c>
    </row>
    <row r="21" spans="1:5">
      <c r="A21" s="73" t="s">
        <v>242</v>
      </c>
      <c r="B21" s="79">
        <f>(B11+B19)*33.8637526</f>
        <v>1014.3010402347758</v>
      </c>
      <c r="C21" s="79">
        <f t="shared" ref="C21:D21" si="11">(C11+C19)*33.8637526</f>
        <v>1014.4242283371523</v>
      </c>
      <c r="D21" s="79">
        <f t="shared" si="11"/>
        <v>1014.5196124217166</v>
      </c>
      <c r="E21" s="73" t="s">
        <v>102</v>
      </c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7"/>
  <sheetViews>
    <sheetView workbookViewId="0">
      <selection activeCell="B1" sqref="B1:D1"/>
    </sheetView>
  </sheetViews>
  <sheetFormatPr defaultRowHeight="15"/>
  <cols>
    <col min="1" max="1" width="14" bestFit="1" customWidth="1"/>
    <col min="8" max="8" width="8.5703125" customWidth="1"/>
  </cols>
  <sheetData>
    <row r="1" spans="1:8" s="73" customFormat="1">
      <c r="B1" s="106" t="s">
        <v>217</v>
      </c>
      <c r="C1" s="106"/>
      <c r="D1" s="106"/>
      <c r="E1" s="106" t="s">
        <v>218</v>
      </c>
      <c r="F1" s="106"/>
      <c r="G1" s="106"/>
    </row>
    <row r="2" spans="1:8" s="73" customFormat="1">
      <c r="A2" s="83"/>
      <c r="B2" s="79" t="s">
        <v>87</v>
      </c>
      <c r="C2" s="79" t="s">
        <v>89</v>
      </c>
      <c r="D2" s="79" t="s">
        <v>88</v>
      </c>
      <c r="E2" s="79" t="s">
        <v>219</v>
      </c>
      <c r="F2" s="79" t="s">
        <v>220</v>
      </c>
      <c r="G2" s="79" t="s">
        <v>221</v>
      </c>
    </row>
    <row r="3" spans="1:8" s="73" customFormat="1">
      <c r="A3" s="84" t="s">
        <v>255</v>
      </c>
      <c r="B3" s="26">
        <f>'Inputs - Variables'!B51</f>
        <v>11.7</v>
      </c>
      <c r="C3" s="26">
        <f>'Inputs - Variables'!B50</f>
        <v>12.033333333333333</v>
      </c>
      <c r="D3" s="26">
        <f>'Inputs - Variables'!B52</f>
        <v>12.4</v>
      </c>
      <c r="E3" s="26">
        <f>'Inputs - Variables'!B59</f>
        <v>23.6</v>
      </c>
      <c r="F3" s="26">
        <f>'Inputs - Variables'!B58</f>
        <v>24.166666666666668</v>
      </c>
      <c r="G3" s="26">
        <f>'Inputs - Variables'!B60</f>
        <v>24.7</v>
      </c>
      <c r="H3" s="83" t="s">
        <v>27</v>
      </c>
    </row>
    <row r="4" spans="1:8" s="73" customFormat="1">
      <c r="A4" s="84" t="s">
        <v>57</v>
      </c>
      <c r="B4" s="79">
        <f>'Inputs - Variables'!B67</f>
        <v>82</v>
      </c>
      <c r="C4" s="79">
        <f>'Inputs - Variables'!B66</f>
        <v>82</v>
      </c>
      <c r="D4" s="79">
        <f>'Inputs - Variables'!B68</f>
        <v>82</v>
      </c>
      <c r="E4" s="79">
        <f>'Inputs - Variables'!B67</f>
        <v>82</v>
      </c>
      <c r="F4" s="79">
        <f>'Inputs - Variables'!B66</f>
        <v>82</v>
      </c>
      <c r="G4" s="79">
        <f>'Inputs - Variables'!B68</f>
        <v>82</v>
      </c>
      <c r="H4" s="83" t="s">
        <v>58</v>
      </c>
    </row>
    <row r="5" spans="1:8">
      <c r="A5" s="84" t="s">
        <v>253</v>
      </c>
      <c r="B5" s="79">
        <f>(LN(B4/100))+((18.678*B3)/(257.14+B3))</f>
        <v>0.61442140170169368</v>
      </c>
      <c r="C5" s="79">
        <f t="shared" ref="C5:D5" si="0">(LN(C4/100))+((18.678*C3)/(257.14+C3))</f>
        <v>0.63654485085412871</v>
      </c>
      <c r="D5" s="79">
        <f t="shared" si="0"/>
        <v>0.66081744444749069</v>
      </c>
      <c r="E5" s="79">
        <f t="shared" ref="E5" si="1">(LN(E4/100))+((18.678*E3)/(257.14+E3))</f>
        <v>1.3716879798485064</v>
      </c>
      <c r="F5" s="79">
        <f t="shared" ref="F5" si="2">(LN(F4/100))+((18.678*F3)/(257.14+F3))</f>
        <v>1.4061502083043163</v>
      </c>
      <c r="G5" s="79">
        <f t="shared" ref="G5" si="3">(LN(G4/100))+((18.678*G3)/(257.14+G3))</f>
        <v>1.438458655372103</v>
      </c>
      <c r="H5" s="83"/>
    </row>
    <row r="6" spans="1:8">
      <c r="A6" s="83" t="s">
        <v>254</v>
      </c>
      <c r="B6" s="26">
        <f>(257.14*B5)/(18.678-B5)</f>
        <v>8.7464573187318102</v>
      </c>
      <c r="C6" s="26">
        <f t="shared" ref="C6:D6" si="4">(257.14*C5)/(18.678-C5)</f>
        <v>9.0725022785304397</v>
      </c>
      <c r="D6" s="26">
        <f t="shared" si="4"/>
        <v>9.4311414751615121</v>
      </c>
      <c r="E6" s="26">
        <f t="shared" ref="E6" si="5">(257.14*E5)/(18.678-E5)</f>
        <v>20.380763199435101</v>
      </c>
      <c r="F6" s="26">
        <f t="shared" ref="F6" si="6">(257.14*F5)/(18.678-F5)</f>
        <v>20.934495663412871</v>
      </c>
      <c r="G6" s="26">
        <f t="shared" ref="G6" si="7">(257.14*G5)/(18.678-G5)</f>
        <v>21.455632214812049</v>
      </c>
      <c r="H6" s="83" t="s">
        <v>27</v>
      </c>
    </row>
    <row r="7" spans="1:8">
      <c r="A7" s="83"/>
    </row>
  </sheetData>
  <mergeCells count="2">
    <mergeCell ref="B1:D1"/>
    <mergeCell ref="E1:G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H36"/>
  <sheetViews>
    <sheetView workbookViewId="0">
      <pane xSplit="1" ySplit="2" topLeftCell="B14" activePane="bottomRight" state="frozen"/>
      <selection pane="topRight" activeCell="B1" sqref="B1"/>
      <selection pane="bottomLeft" activeCell="A3" sqref="A3"/>
      <selection pane="bottomRight" activeCell="B29" sqref="B29"/>
    </sheetView>
  </sheetViews>
  <sheetFormatPr defaultRowHeight="15"/>
  <cols>
    <col min="1" max="1" width="94.140625" bestFit="1" customWidth="1"/>
    <col min="2" max="7" width="15.5703125" style="66" bestFit="1" customWidth="1"/>
  </cols>
  <sheetData>
    <row r="1" spans="1:8" s="66" customFormat="1">
      <c r="B1" s="106" t="s">
        <v>217</v>
      </c>
      <c r="C1" s="106"/>
      <c r="D1" s="106"/>
      <c r="E1" s="106" t="s">
        <v>218</v>
      </c>
      <c r="F1" s="106"/>
      <c r="G1" s="106"/>
    </row>
    <row r="2" spans="1:8" s="66" customFormat="1">
      <c r="B2" s="79" t="s">
        <v>219</v>
      </c>
      <c r="C2" s="79" t="s">
        <v>220</v>
      </c>
      <c r="D2" s="79" t="s">
        <v>221</v>
      </c>
      <c r="E2" s="79" t="s">
        <v>219</v>
      </c>
      <c r="F2" s="79" t="s">
        <v>220</v>
      </c>
      <c r="G2" s="79" t="s">
        <v>221</v>
      </c>
    </row>
    <row r="3" spans="1:8">
      <c r="A3" s="1" t="s">
        <v>193</v>
      </c>
      <c r="B3" s="26">
        <f>'Inputs - Variables'!B51</f>
        <v>11.7</v>
      </c>
      <c r="C3" s="26">
        <f>'Inputs - Variables'!B50</f>
        <v>12.033333333333333</v>
      </c>
      <c r="D3" s="26">
        <f>'Inputs - Variables'!B52</f>
        <v>12.4</v>
      </c>
      <c r="E3" s="26">
        <f>'Inputs - Variables'!B59</f>
        <v>23.6</v>
      </c>
      <c r="F3" s="26">
        <f>'Inputs - Variables'!B58</f>
        <v>24.166666666666668</v>
      </c>
      <c r="G3" s="26">
        <f>'Inputs - Variables'!B60</f>
        <v>24.7</v>
      </c>
      <c r="H3" t="s">
        <v>27</v>
      </c>
    </row>
    <row r="4" spans="1:8">
      <c r="A4" s="1" t="s">
        <v>194</v>
      </c>
      <c r="B4" s="26">
        <f>B3+273.15</f>
        <v>284.84999999999997</v>
      </c>
      <c r="C4" s="26">
        <f t="shared" ref="C4:G4" si="0">C3+273.15</f>
        <v>285.18333333333334</v>
      </c>
      <c r="D4" s="26">
        <f t="shared" si="0"/>
        <v>285.54999999999995</v>
      </c>
      <c r="E4" s="26">
        <f t="shared" si="0"/>
        <v>296.75</v>
      </c>
      <c r="F4" s="26">
        <f t="shared" si="0"/>
        <v>297.31666666666666</v>
      </c>
      <c r="G4" s="26">
        <f t="shared" si="0"/>
        <v>297.84999999999997</v>
      </c>
      <c r="H4" t="s">
        <v>195</v>
      </c>
    </row>
    <row r="5" spans="1:8">
      <c r="A5" s="1" t="s">
        <v>196</v>
      </c>
      <c r="B5" s="26">
        <f>'Air Pressure'!B21</f>
        <v>1014.3010402347758</v>
      </c>
      <c r="C5" s="26">
        <f>'Air Pressure'!C21</f>
        <v>1014.4242283371523</v>
      </c>
      <c r="D5" s="26">
        <f>'Air Pressure'!D21</f>
        <v>1014.5196124217166</v>
      </c>
      <c r="E5" s="26">
        <f>'Inputs - Variables'!D30</f>
        <v>1031.1684782347763</v>
      </c>
      <c r="F5" s="26">
        <f>'Inputs - Variables'!D29</f>
        <v>1031.3804648312155</v>
      </c>
      <c r="G5" s="26">
        <f>'Inputs - Variables'!D31</f>
        <v>1031.583183421717</v>
      </c>
      <c r="H5" t="s">
        <v>102</v>
      </c>
    </row>
    <row r="6" spans="1:8">
      <c r="A6" s="1" t="s">
        <v>197</v>
      </c>
      <c r="B6" s="26">
        <f>'Dew Point'!B6</f>
        <v>8.7464573187318102</v>
      </c>
      <c r="C6" s="26">
        <f>'Dew Point'!C6</f>
        <v>9.0725022785304397</v>
      </c>
      <c r="D6" s="26">
        <f>'Dew Point'!D6</f>
        <v>9.4311414751615121</v>
      </c>
      <c r="E6" s="26">
        <f>'Dew Point'!E6</f>
        <v>20.380763199435101</v>
      </c>
      <c r="F6" s="26">
        <f>'Dew Point'!F6</f>
        <v>20.934495663412871</v>
      </c>
      <c r="G6" s="26">
        <f>'Dew Point'!G6</f>
        <v>21.455632214812049</v>
      </c>
      <c r="H6" t="s">
        <v>27</v>
      </c>
    </row>
    <row r="7" spans="1:8">
      <c r="B7" s="79"/>
      <c r="C7" s="79"/>
      <c r="D7" s="79"/>
      <c r="E7" s="79"/>
      <c r="F7" s="79"/>
      <c r="G7" s="79"/>
    </row>
    <row r="8" spans="1:8" ht="18">
      <c r="A8" s="68" t="s">
        <v>198</v>
      </c>
      <c r="B8" s="80">
        <v>0.99999682999999995</v>
      </c>
      <c r="C8" s="80">
        <v>0.99999682999999995</v>
      </c>
      <c r="D8" s="80">
        <v>0.99999682999999995</v>
      </c>
      <c r="E8" s="80">
        <v>0.99999682999999995</v>
      </c>
      <c r="F8" s="80">
        <v>0.99999682999999995</v>
      </c>
      <c r="G8" s="80">
        <v>0.99999682999999995</v>
      </c>
    </row>
    <row r="9" spans="1:8" ht="18">
      <c r="A9" s="68" t="s">
        <v>199</v>
      </c>
      <c r="B9" s="81">
        <v>-9.0826950999999996E-3</v>
      </c>
      <c r="C9" s="81">
        <v>-9.0826950999999996E-3</v>
      </c>
      <c r="D9" s="81">
        <v>-9.0826950999999996E-3</v>
      </c>
      <c r="E9" s="81">
        <v>-9.0826950999999996E-3</v>
      </c>
      <c r="F9" s="81">
        <v>-9.0826950999999996E-3</v>
      </c>
      <c r="G9" s="81">
        <v>-9.0826950999999996E-3</v>
      </c>
    </row>
    <row r="10" spans="1:8" ht="18">
      <c r="A10" s="68" t="s">
        <v>200</v>
      </c>
      <c r="B10" s="81">
        <v>7.8736169000000002E-5</v>
      </c>
      <c r="C10" s="81">
        <v>7.8736169000000002E-5</v>
      </c>
      <c r="D10" s="81">
        <v>7.8736169000000002E-5</v>
      </c>
      <c r="E10" s="81">
        <v>7.8736169000000002E-5</v>
      </c>
      <c r="F10" s="81">
        <v>7.8736169000000002E-5</v>
      </c>
      <c r="G10" s="81">
        <v>7.8736169000000002E-5</v>
      </c>
    </row>
    <row r="11" spans="1:8" ht="18">
      <c r="A11" s="68" t="s">
        <v>201</v>
      </c>
      <c r="B11" s="81">
        <v>-6.1117958000000001E-7</v>
      </c>
      <c r="C11" s="81">
        <v>-6.1117958000000001E-7</v>
      </c>
      <c r="D11" s="81">
        <v>-6.1117958000000001E-7</v>
      </c>
      <c r="E11" s="81">
        <v>-6.1117958000000001E-7</v>
      </c>
      <c r="F11" s="81">
        <v>-6.1117958000000001E-7</v>
      </c>
      <c r="G11" s="81">
        <v>-6.1117958000000001E-7</v>
      </c>
    </row>
    <row r="12" spans="1:8" ht="18">
      <c r="A12" s="68" t="s">
        <v>202</v>
      </c>
      <c r="B12" s="81">
        <v>4.3884186999999996E-9</v>
      </c>
      <c r="C12" s="81">
        <v>4.3884186999999996E-9</v>
      </c>
      <c r="D12" s="81">
        <v>4.3884186999999996E-9</v>
      </c>
      <c r="E12" s="81">
        <v>4.3884186999999996E-9</v>
      </c>
      <c r="F12" s="81">
        <v>4.3884186999999996E-9</v>
      </c>
      <c r="G12" s="81">
        <v>4.3884186999999996E-9</v>
      </c>
    </row>
    <row r="13" spans="1:8" ht="18">
      <c r="A13" s="68" t="s">
        <v>203</v>
      </c>
      <c r="B13" s="81">
        <v>-2.9883884999999998E-11</v>
      </c>
      <c r="C13" s="81">
        <v>-2.9883884999999998E-11</v>
      </c>
      <c r="D13" s="81">
        <v>-2.9883884999999998E-11</v>
      </c>
      <c r="E13" s="81">
        <v>-2.9883884999999998E-11</v>
      </c>
      <c r="F13" s="81">
        <v>-2.9883884999999998E-11</v>
      </c>
      <c r="G13" s="81">
        <v>-2.9883884999999998E-11</v>
      </c>
    </row>
    <row r="14" spans="1:8" ht="18">
      <c r="A14" s="68" t="s">
        <v>204</v>
      </c>
      <c r="B14" s="81">
        <v>2.1874424999999999E-13</v>
      </c>
      <c r="C14" s="81">
        <v>2.1874424999999999E-13</v>
      </c>
      <c r="D14" s="81">
        <v>2.1874424999999999E-13</v>
      </c>
      <c r="E14" s="81">
        <v>2.1874424999999999E-13</v>
      </c>
      <c r="F14" s="81">
        <v>2.1874424999999999E-13</v>
      </c>
      <c r="G14" s="81">
        <v>2.1874424999999999E-13</v>
      </c>
    </row>
    <row r="15" spans="1:8" ht="18">
      <c r="A15" s="68" t="s">
        <v>205</v>
      </c>
      <c r="B15" s="81">
        <v>-1.7892321000000001E-15</v>
      </c>
      <c r="C15" s="81">
        <v>-1.7892321000000001E-15</v>
      </c>
      <c r="D15" s="81">
        <v>-1.7892321000000001E-15</v>
      </c>
      <c r="E15" s="81">
        <v>-1.7892321000000001E-15</v>
      </c>
      <c r="F15" s="81">
        <v>-1.7892321000000001E-15</v>
      </c>
      <c r="G15" s="81">
        <v>-1.7892321000000001E-15</v>
      </c>
    </row>
    <row r="16" spans="1:8" ht="18">
      <c r="A16" s="68" t="s">
        <v>206</v>
      </c>
      <c r="B16" s="81">
        <v>1.1112018E-17</v>
      </c>
      <c r="C16" s="81">
        <v>1.1112018E-17</v>
      </c>
      <c r="D16" s="81">
        <v>1.1112018E-17</v>
      </c>
      <c r="E16" s="81">
        <v>1.1112018E-17</v>
      </c>
      <c r="F16" s="81">
        <v>1.1112018E-17</v>
      </c>
      <c r="G16" s="81">
        <v>1.1112018E-17</v>
      </c>
    </row>
    <row r="17" spans="1:8" ht="18">
      <c r="A17" s="68" t="s">
        <v>207</v>
      </c>
      <c r="B17" s="81">
        <v>-3.0994570999999997E-20</v>
      </c>
      <c r="C17" s="81">
        <v>-3.0994570999999997E-20</v>
      </c>
      <c r="D17" s="81">
        <v>-3.0994570999999997E-20</v>
      </c>
      <c r="E17" s="81">
        <v>-3.0994570999999997E-20</v>
      </c>
      <c r="F17" s="81">
        <v>-3.0994570999999997E-20</v>
      </c>
      <c r="G17" s="81">
        <v>-3.0994570999999997E-20</v>
      </c>
    </row>
    <row r="18" spans="1:8" ht="18">
      <c r="A18" s="69" t="s">
        <v>208</v>
      </c>
      <c r="B18" s="82">
        <f>B8+B6*(B9+B6*(B10+B6*(B11+B6*(B12+B6*(B13+B6*(B14+B6*(B15+B6*(B16+B6*(B17)))))))))</f>
        <v>0.92619408114396506</v>
      </c>
      <c r="C18" s="82">
        <f t="shared" ref="C18:G18" si="1">C8+C6*(C9+C6*(C10+C6*(C11+C6*(C12+C6*(C13+C6*(C14+C6*(C15+C6*(C16+C6*(C17)))))))))</f>
        <v>0.92364645888137242</v>
      </c>
      <c r="D18" s="82">
        <f t="shared" si="1"/>
        <v>0.92085988245547101</v>
      </c>
      <c r="E18" s="82">
        <f t="shared" si="1"/>
        <v>0.84308105819849533</v>
      </c>
      <c r="F18" s="82">
        <f t="shared" si="1"/>
        <v>0.83949258023442974</v>
      </c>
      <c r="G18" s="82">
        <f t="shared" si="1"/>
        <v>0.83614316090771768</v>
      </c>
      <c r="H18" t="s">
        <v>102</v>
      </c>
    </row>
    <row r="19" spans="1:8">
      <c r="A19" s="70" t="s">
        <v>209</v>
      </c>
      <c r="B19" s="82">
        <f t="shared" ref="B19:G19" si="2">B18*100</f>
        <v>92.619408114396506</v>
      </c>
      <c r="C19" s="82">
        <f t="shared" si="2"/>
        <v>92.364645888137247</v>
      </c>
      <c r="D19" s="82">
        <f t="shared" si="2"/>
        <v>92.085988245547099</v>
      </c>
      <c r="E19" s="82">
        <f t="shared" si="2"/>
        <v>84.30810581984953</v>
      </c>
      <c r="F19" s="82">
        <f t="shared" si="2"/>
        <v>83.949258023442979</v>
      </c>
      <c r="G19" s="82">
        <f t="shared" si="2"/>
        <v>83.614316090771766</v>
      </c>
      <c r="H19" t="s">
        <v>210</v>
      </c>
    </row>
    <row r="22" spans="1:8" ht="18">
      <c r="A22" s="69" t="s">
        <v>211</v>
      </c>
      <c r="B22" s="86">
        <f>B5-B18</f>
        <v>1013.3748461536318</v>
      </c>
      <c r="C22" s="82">
        <f t="shared" ref="C22:G22" si="3">C5-C18</f>
        <v>1013.5005818782709</v>
      </c>
      <c r="D22" s="82">
        <f t="shared" si="3"/>
        <v>1013.5987525392611</v>
      </c>
      <c r="E22" s="82">
        <f t="shared" si="3"/>
        <v>1030.3253971765778</v>
      </c>
      <c r="F22" s="82">
        <f t="shared" si="3"/>
        <v>1030.540972250981</v>
      </c>
      <c r="G22" s="82">
        <f t="shared" si="3"/>
        <v>1030.7470402608092</v>
      </c>
      <c r="H22" t="s">
        <v>102</v>
      </c>
    </row>
    <row r="23" spans="1:8">
      <c r="A23" s="71" t="s">
        <v>212</v>
      </c>
      <c r="B23" s="82">
        <f t="shared" ref="B23:G23" si="4">B22*100</f>
        <v>101337.48461536318</v>
      </c>
      <c r="C23" s="82">
        <f t="shared" si="4"/>
        <v>101350.05818782709</v>
      </c>
      <c r="D23" s="82">
        <f t="shared" si="4"/>
        <v>101359.87525392612</v>
      </c>
      <c r="E23" s="82">
        <f t="shared" si="4"/>
        <v>103032.53971765778</v>
      </c>
      <c r="F23" s="82">
        <f t="shared" si="4"/>
        <v>103054.0972250981</v>
      </c>
      <c r="G23" s="82">
        <f t="shared" si="4"/>
        <v>103074.70402608092</v>
      </c>
      <c r="H23" t="s">
        <v>210</v>
      </c>
    </row>
    <row r="25" spans="1:8" ht="18">
      <c r="A25" s="69" t="s">
        <v>213</v>
      </c>
      <c r="B25" s="82">
        <v>461.495</v>
      </c>
      <c r="C25" s="82">
        <v>461.495</v>
      </c>
      <c r="D25" s="82">
        <v>461.495</v>
      </c>
      <c r="E25" s="82">
        <v>461.495</v>
      </c>
      <c r="F25" s="82">
        <v>461.495</v>
      </c>
      <c r="G25" s="82">
        <v>461.495</v>
      </c>
    </row>
    <row r="26" spans="1:8" ht="18">
      <c r="A26" s="69" t="s">
        <v>214</v>
      </c>
      <c r="B26" s="82">
        <v>287.05</v>
      </c>
      <c r="C26" s="82">
        <v>287.05</v>
      </c>
      <c r="D26" s="82">
        <v>287.05</v>
      </c>
      <c r="E26" s="82">
        <v>287.05</v>
      </c>
      <c r="F26" s="82">
        <v>287.05</v>
      </c>
      <c r="G26" s="82">
        <v>287.05</v>
      </c>
    </row>
    <row r="27" spans="1:8" ht="18">
      <c r="A27" s="69" t="s">
        <v>215</v>
      </c>
      <c r="B27" s="82">
        <f t="shared" ref="B27:G27" si="5">B4</f>
        <v>284.84999999999997</v>
      </c>
      <c r="C27" s="82">
        <f t="shared" si="5"/>
        <v>285.18333333333334</v>
      </c>
      <c r="D27" s="82">
        <f t="shared" si="5"/>
        <v>285.54999999999995</v>
      </c>
      <c r="E27" s="82">
        <f t="shared" si="5"/>
        <v>296.75</v>
      </c>
      <c r="F27" s="82">
        <f t="shared" si="5"/>
        <v>297.31666666666666</v>
      </c>
      <c r="G27" s="82">
        <f t="shared" si="5"/>
        <v>297.84999999999997</v>
      </c>
      <c r="H27" t="s">
        <v>195</v>
      </c>
    </row>
    <row r="29" spans="1:8" ht="18">
      <c r="A29" s="69" t="s">
        <v>216</v>
      </c>
      <c r="B29" s="82">
        <f t="shared" ref="B29:G29" si="6">(B23/(B26*B27))+(B19/(B25*B27))</f>
        <v>1.2400613359768062</v>
      </c>
      <c r="C29" s="82">
        <f t="shared" si="6"/>
        <v>1.2387635634693461</v>
      </c>
      <c r="D29" s="82">
        <f t="shared" si="6"/>
        <v>1.2372905560288676</v>
      </c>
      <c r="E29" s="82">
        <f t="shared" si="6"/>
        <v>1.2101720256570729</v>
      </c>
      <c r="F29" s="82">
        <f t="shared" si="6"/>
        <v>1.2081154926385205</v>
      </c>
      <c r="G29" s="82">
        <f t="shared" si="6"/>
        <v>1.2061908129508569</v>
      </c>
      <c r="H29" t="s">
        <v>59</v>
      </c>
    </row>
    <row r="36" spans="1:7">
      <c r="A36" s="69"/>
      <c r="B36" s="72"/>
      <c r="C36" s="72"/>
      <c r="D36" s="72"/>
      <c r="E36" s="72"/>
      <c r="F36" s="72"/>
      <c r="G36" s="72"/>
    </row>
  </sheetData>
  <mergeCells count="2">
    <mergeCell ref="E1:G1"/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K26"/>
  <sheetViews>
    <sheetView zoomScale="97" zoomScaleNormal="97" workbookViewId="0">
      <selection activeCell="I17" sqref="I17"/>
    </sheetView>
  </sheetViews>
  <sheetFormatPr defaultRowHeight="15"/>
  <cols>
    <col min="1" max="1" width="51" bestFit="1" customWidth="1"/>
    <col min="2" max="2" width="11.85546875" bestFit="1" customWidth="1"/>
    <col min="3" max="3" width="11.85546875" style="2" bestFit="1" customWidth="1"/>
    <col min="4" max="4" width="11.85546875" bestFit="1" customWidth="1"/>
    <col min="5" max="5" width="9.140625" style="12"/>
    <col min="6" max="6" width="2.85546875" customWidth="1"/>
    <col min="7" max="7" width="53.7109375" bestFit="1" customWidth="1"/>
    <col min="8" max="8" width="9.28515625" style="9" bestFit="1" customWidth="1"/>
    <col min="9" max="9" width="12.85546875" style="9" bestFit="1" customWidth="1"/>
    <col min="10" max="10" width="9.28515625" style="9" bestFit="1" customWidth="1"/>
  </cols>
  <sheetData>
    <row r="1" spans="1:11">
      <c r="A1" t="s">
        <v>90</v>
      </c>
      <c r="G1" t="s">
        <v>91</v>
      </c>
    </row>
    <row r="2" spans="1:11">
      <c r="B2" s="9" t="s">
        <v>87</v>
      </c>
      <c r="C2" s="9" t="s">
        <v>89</v>
      </c>
      <c r="D2" s="9" t="s">
        <v>88</v>
      </c>
      <c r="H2" s="9" t="s">
        <v>87</v>
      </c>
      <c r="I2" s="9" t="s">
        <v>89</v>
      </c>
      <c r="J2" s="9" t="s">
        <v>88</v>
      </c>
    </row>
    <row r="3" spans="1:11">
      <c r="A3" t="s">
        <v>84</v>
      </c>
      <c r="B3" s="9">
        <f>'Inputs - Constants'!E2</f>
        <v>15.899999999999999</v>
      </c>
      <c r="C3" s="13">
        <f>'Inputs - Constants'!B2</f>
        <v>16.399999999999999</v>
      </c>
      <c r="D3" s="9">
        <f>'Inputs - Constants'!G2</f>
        <v>16.899999999999999</v>
      </c>
      <c r="E3" s="12" t="s">
        <v>27</v>
      </c>
      <c r="G3" t="s">
        <v>118</v>
      </c>
      <c r="H3" s="9">
        <f>B5/D4</f>
        <v>0.5825916427817166</v>
      </c>
      <c r="I3" s="9">
        <f>C5/C4</f>
        <v>0.59379668765083715</v>
      </c>
      <c r="J3" s="9">
        <f>D5/B4</f>
        <v>0.60582917705735662</v>
      </c>
    </row>
    <row r="4" spans="1:11">
      <c r="A4" t="s">
        <v>109</v>
      </c>
      <c r="B4" s="3">
        <f>'Inputs - Constants'!B10</f>
        <v>64.16</v>
      </c>
      <c r="C4" s="3">
        <f>'Inputs - Constants'!B9</f>
        <v>65.260833333333323</v>
      </c>
      <c r="D4" s="3">
        <f>'Inputs - Constants'!B11</f>
        <v>66.290000000000006</v>
      </c>
      <c r="E4" s="17" t="s">
        <v>101</v>
      </c>
      <c r="G4" t="s">
        <v>119</v>
      </c>
      <c r="H4" s="9">
        <f>B8/D4</f>
        <v>0.95700709005883233</v>
      </c>
      <c r="I4" s="9">
        <f>C8/C4</f>
        <v>0.97352929909465868</v>
      </c>
      <c r="J4" s="9">
        <f>D8/B4</f>
        <v>0.99251870324189528</v>
      </c>
    </row>
    <row r="5" spans="1:11">
      <c r="A5" t="s">
        <v>108</v>
      </c>
      <c r="B5" s="3">
        <f>'Inputs - Constants'!B19</f>
        <v>38.619999999999997</v>
      </c>
      <c r="C5" s="3">
        <f>'Inputs - Constants'!B18</f>
        <v>38.751666666666672</v>
      </c>
      <c r="D5" s="3">
        <f>'Inputs - Constants'!B20</f>
        <v>38.869999999999997</v>
      </c>
      <c r="E5" s="17" t="s">
        <v>101</v>
      </c>
      <c r="G5" t="s">
        <v>120</v>
      </c>
      <c r="H5" s="9">
        <f>B9/D4</f>
        <v>0.50369588173178459</v>
      </c>
      <c r="I5" s="9">
        <f>C9/C4</f>
        <v>0.51240534777112356</v>
      </c>
      <c r="J5" s="9">
        <f>D9/B4</f>
        <v>0.52166458852867836</v>
      </c>
    </row>
    <row r="6" spans="1:11">
      <c r="A6" t="s">
        <v>92</v>
      </c>
      <c r="B6" s="3">
        <f>'Inputs - Constants'!B32</f>
        <v>0.52</v>
      </c>
      <c r="C6" s="4">
        <f>'Inputs - Constants'!B31</f>
        <v>0.69041666666666657</v>
      </c>
      <c r="D6" s="3">
        <f>'Inputs - Constants'!B33</f>
        <v>0.85</v>
      </c>
      <c r="E6" s="17" t="s">
        <v>101</v>
      </c>
      <c r="G6" t="s">
        <v>179</v>
      </c>
      <c r="H6" s="9">
        <f>B22/B16</f>
        <v>0.99315263397879716</v>
      </c>
      <c r="I6" s="64">
        <f>C22/C16</f>
        <v>0.99312234711126279</v>
      </c>
      <c r="J6" s="64">
        <f>D22/D16</f>
        <v>0.99306032260408261</v>
      </c>
    </row>
    <row r="7" spans="1:11">
      <c r="A7" t="s">
        <v>93</v>
      </c>
      <c r="B7" s="3">
        <f>'Inputs - Constants'!B45</f>
        <v>2.91</v>
      </c>
      <c r="C7" s="4">
        <f>'Inputs - Constants'!B44</f>
        <v>3.0695833333333336</v>
      </c>
      <c r="D7" s="3">
        <f>'Inputs - Constants'!B46</f>
        <v>3.25</v>
      </c>
      <c r="E7" s="17" t="s">
        <v>101</v>
      </c>
      <c r="G7" t="s">
        <v>110</v>
      </c>
      <c r="H7" s="3">
        <f>((B4*10^(-3))*(1+((B24*10^(-6))*(B17-D3))))*1000</f>
        <v>64.202987199999995</v>
      </c>
      <c r="I7" s="4">
        <f>((C4*10^(-3))*(1+((C24*10^(-6))*(C17-C3))))*1000</f>
        <v>65.311519247222208</v>
      </c>
      <c r="J7" s="3">
        <f>((D4*10^(-3))*(1+((D24*10^(-6))*(D17-B3))))*1000</f>
        <v>66.348335199999994</v>
      </c>
      <c r="K7" s="17" t="s">
        <v>101</v>
      </c>
    </row>
    <row r="8" spans="1:11">
      <c r="A8" t="s">
        <v>114</v>
      </c>
      <c r="B8" s="3">
        <f>'Inputs - Constants'!B51</f>
        <v>63.44</v>
      </c>
      <c r="C8" s="3">
        <f>'Inputs - Constants'!B50</f>
        <v>63.533333333333331</v>
      </c>
      <c r="D8" s="3">
        <f>'Inputs - Constants'!B52</f>
        <v>63.68</v>
      </c>
      <c r="E8" s="17" t="s">
        <v>101</v>
      </c>
      <c r="G8" t="s">
        <v>111</v>
      </c>
      <c r="H8" s="3">
        <f>((B5*10^(-3))*(1+((B24*10^(-6))*(B17-D3))))*1000</f>
        <v>38.645875400000001</v>
      </c>
      <c r="I8" s="4">
        <f>((C5*10^(-3))*(1+((C24*10^(-6))*(C17-C3))))*1000</f>
        <v>38.781763794444444</v>
      </c>
      <c r="J8" s="3">
        <f>((D5*10^(-3))*(1+((D24*10^(-6))*(D17-B3))))*1000</f>
        <v>38.90420559999999</v>
      </c>
      <c r="K8" s="17" t="s">
        <v>101</v>
      </c>
    </row>
    <row r="9" spans="1:11">
      <c r="A9" t="s">
        <v>115</v>
      </c>
      <c r="B9" s="3">
        <f>'Inputs - Constants'!B57</f>
        <v>33.39</v>
      </c>
      <c r="C9" s="3">
        <f>'Inputs - Constants'!B56</f>
        <v>33.44</v>
      </c>
      <c r="D9" s="3">
        <f>'Inputs - Constants'!B58</f>
        <v>33.47</v>
      </c>
      <c r="E9" s="17" t="s">
        <v>101</v>
      </c>
      <c r="G9" t="s">
        <v>117</v>
      </c>
      <c r="H9" s="3">
        <f>((B8*10^(-3))*(1+((B24*10^(-6))*(B17-D3))))*1000</f>
        <v>63.482504799999994</v>
      </c>
      <c r="I9" s="4">
        <f>((C8*10^(-3))*(1+((C24*10^(-6))*(C17-C3))))*1000</f>
        <v>63.582677555555549</v>
      </c>
      <c r="J9" s="3">
        <f>((D8*10^(-3))*(1+((D24*10^(-6))*(D17-B3))))*1000</f>
        <v>63.736038399999998</v>
      </c>
      <c r="K9" s="17" t="s">
        <v>101</v>
      </c>
    </row>
    <row r="10" spans="1:11">
      <c r="G10" t="s">
        <v>116</v>
      </c>
      <c r="H10" s="3">
        <f>((B9*10^(-3))*(1+((B24*10^(-6))*(B17-D3))))*1000</f>
        <v>33.412371300000004</v>
      </c>
      <c r="I10" s="4">
        <f>((C9*10^(-3))*(1+((C24*10^(-6))*(C17-C3))))*1000</f>
        <v>33.465971733333326</v>
      </c>
      <c r="J10" s="3">
        <f>((D9*10^(-3))*(1+((D24*10^(-6))*(D17-B3))))*1000</f>
        <v>33.499453600000002</v>
      </c>
      <c r="K10" s="17" t="s">
        <v>101</v>
      </c>
    </row>
    <row r="11" spans="1:11">
      <c r="A11" t="s">
        <v>96</v>
      </c>
      <c r="B11" s="65">
        <f>'Inputs - Variables'!D22</f>
        <v>1014.3010402347758</v>
      </c>
      <c r="C11" s="13">
        <f>'Inputs - Variables'!D21</f>
        <v>1014.4242283371523</v>
      </c>
      <c r="D11" s="76">
        <f>'Inputs - Variables'!D23</f>
        <v>1014.5196124217166</v>
      </c>
      <c r="E11" s="12" t="s">
        <v>102</v>
      </c>
      <c r="G11" t="s">
        <v>121</v>
      </c>
      <c r="H11" s="9">
        <f>H8/J7</f>
        <v>0.58246940610500808</v>
      </c>
      <c r="I11" s="13">
        <f>I8/I7</f>
        <v>0.59379668765083715</v>
      </c>
      <c r="J11" s="9">
        <f>J8/H7</f>
        <v>0.60595631600144595</v>
      </c>
    </row>
    <row r="12" spans="1:11">
      <c r="A12" t="s">
        <v>103</v>
      </c>
      <c r="B12" s="9">
        <f>'Inputs - Variables'!B51</f>
        <v>11.7</v>
      </c>
      <c r="C12" s="13">
        <f>'Inputs - Variables'!B50</f>
        <v>12.033333333333333</v>
      </c>
      <c r="D12" s="77">
        <f>'Inputs - Variables'!B52</f>
        <v>12.4</v>
      </c>
      <c r="E12" s="12" t="s">
        <v>27</v>
      </c>
      <c r="G12" t="s">
        <v>122</v>
      </c>
      <c r="H12" s="9">
        <f>H9/J7</f>
        <v>0.95680629526933481</v>
      </c>
      <c r="I12" s="13">
        <f>I9/I7</f>
        <v>0.97352929909465868</v>
      </c>
      <c r="J12" s="9">
        <f>J9/H7</f>
        <v>0.99272699261569564</v>
      </c>
    </row>
    <row r="13" spans="1:11">
      <c r="A13" t="s">
        <v>94</v>
      </c>
      <c r="B13" s="21">
        <f>'Inputs - Variables'!B6</f>
        <v>21</v>
      </c>
      <c r="C13" s="14">
        <f>'Inputs - Variables'!B5</f>
        <v>22</v>
      </c>
      <c r="D13" s="21">
        <f>'Inputs - Variables'!B7</f>
        <v>23</v>
      </c>
      <c r="E13" s="27" t="s">
        <v>45</v>
      </c>
      <c r="G13" t="s">
        <v>123</v>
      </c>
      <c r="H13" s="9">
        <f>H10/J7</f>
        <v>0.50359019859777898</v>
      </c>
      <c r="I13" s="13">
        <f>I10/I7</f>
        <v>0.51240534777112356</v>
      </c>
      <c r="J13" s="9">
        <f>J10/H7</f>
        <v>0.52177406474320565</v>
      </c>
    </row>
    <row r="14" spans="1:11">
      <c r="A14" t="s">
        <v>131</v>
      </c>
      <c r="B14" s="25">
        <f>'Air Density'!B29</f>
        <v>1.2400613359768062</v>
      </c>
      <c r="C14" s="13">
        <f>'Air Density'!C29</f>
        <v>1.2387635634693461</v>
      </c>
      <c r="D14" s="25">
        <f>'Air Density'!D29</f>
        <v>1.2372905560288676</v>
      </c>
      <c r="E14" s="12" t="s">
        <v>59</v>
      </c>
      <c r="G14" s="7" t="s">
        <v>180</v>
      </c>
      <c r="H14" s="9">
        <f>1-((0.351+(0.256*(H11^4)+(0.93*(H11^8))))*(1-(B22/B16)^(1/B26)))</f>
        <v>0.99807836600035005</v>
      </c>
      <c r="I14" s="13">
        <f>1-((0.351+(0.256*(I11^4)+(0.93*(I11^8))))*(1-(C22/C16)^(1/C26)))</f>
        <v>0.9980481750378648</v>
      </c>
      <c r="J14" s="64">
        <f>1-((0.351+(0.256*(J11^4)+(0.93*(J11^8))))*(1-(D22/D16)^(1/D26)))</f>
        <v>0.99800467888409805</v>
      </c>
    </row>
    <row r="15" spans="1:11">
      <c r="G15" t="s">
        <v>126</v>
      </c>
      <c r="H15" s="9">
        <f>(1-(H11^4))^(-0.5)</f>
        <v>1.0630507985244231</v>
      </c>
      <c r="I15" s="13">
        <f>(1-(I11^4))^(-0.5)</f>
        <v>1.0686315701482796</v>
      </c>
      <c r="J15" s="9">
        <f>(1-(J11^4))^(-0.5)</f>
        <v>1.0750969181615033</v>
      </c>
    </row>
    <row r="16" spans="1:11">
      <c r="A16" t="s">
        <v>100</v>
      </c>
      <c r="B16" s="21">
        <f>'Inputs - Variables'!B30</f>
        <v>10514.992155677503</v>
      </c>
      <c r="C16" s="14">
        <f>'Inputs - Variables'!B29</f>
        <v>10517.153817370732</v>
      </c>
      <c r="D16" s="21">
        <f>'Inputs - Variables'!B31</f>
        <v>10519.220971704797</v>
      </c>
      <c r="E16" t="s">
        <v>45</v>
      </c>
      <c r="G16" s="7" t="s">
        <v>181</v>
      </c>
      <c r="H16" s="64">
        <f>(2*H13)/(1-H11)</f>
        <v>2.4122313715982733</v>
      </c>
      <c r="I16" s="13">
        <f>(2*I13)/(1-I11)</f>
        <v>2.5229008833422411</v>
      </c>
      <c r="J16" s="64">
        <f>(2*J13)/(1-J11)</f>
        <v>2.6483056875750877</v>
      </c>
    </row>
    <row r="17" spans="1:11">
      <c r="A17" t="s">
        <v>104</v>
      </c>
      <c r="B17" s="9">
        <f>'Inputs - Variables'!B59</f>
        <v>23.6</v>
      </c>
      <c r="C17" s="18">
        <f>'Inputs - Variables'!B58</f>
        <v>24.166666666666668</v>
      </c>
      <c r="D17" s="77">
        <f>'Inputs - Variables'!B60</f>
        <v>24.7</v>
      </c>
      <c r="E17" s="12" t="s">
        <v>27</v>
      </c>
    </row>
    <row r="18" spans="1:11">
      <c r="A18" t="s">
        <v>107</v>
      </c>
      <c r="B18" s="9">
        <f>'Air Density'!E29</f>
        <v>1.2101720256570729</v>
      </c>
      <c r="C18" s="13">
        <f>'Air Density'!F29</f>
        <v>1.2081154926385205</v>
      </c>
      <c r="D18" s="9">
        <f>'Air Density'!G29</f>
        <v>1.2061908129508569</v>
      </c>
      <c r="E18" s="12" t="s">
        <v>59</v>
      </c>
    </row>
    <row r="19" spans="1:11">
      <c r="G19" t="s">
        <v>127</v>
      </c>
      <c r="H19" s="20">
        <f>'Final Calculations Sheet'!B6</f>
        <v>105.63421045084952</v>
      </c>
      <c r="I19" s="20">
        <f>'Final Calculations Sheet'!C6</f>
        <v>106.97654117789772</v>
      </c>
      <c r="J19" s="20">
        <f>'Final Calculations Sheet'!D6</f>
        <v>108.30560904703539</v>
      </c>
      <c r="K19" t="s">
        <v>83</v>
      </c>
    </row>
    <row r="20" spans="1:11">
      <c r="A20" t="s">
        <v>95</v>
      </c>
      <c r="B20" s="21">
        <f>'Inputs - Variables'!B14</f>
        <v>275</v>
      </c>
      <c r="C20" s="14">
        <f>'Inputs - Variables'!B13</f>
        <v>275.66666666666669</v>
      </c>
      <c r="D20" s="21">
        <f>'Inputs - Variables'!B15</f>
        <v>276</v>
      </c>
      <c r="E20" s="27" t="s">
        <v>45</v>
      </c>
    </row>
    <row r="22" spans="1:11">
      <c r="A22" t="s">
        <v>178</v>
      </c>
      <c r="B22" s="21">
        <f>'Inputs - Variables'!B38</f>
        <v>10442.992155677503</v>
      </c>
      <c r="C22" s="14">
        <f>'Inputs - Variables'!B37</f>
        <v>10444.820484037398</v>
      </c>
      <c r="D22" s="75">
        <f>'Inputs - Variables'!B39</f>
        <v>10446.220971704797</v>
      </c>
      <c r="E22" s="27" t="s">
        <v>45</v>
      </c>
    </row>
    <row r="24" spans="1:11">
      <c r="A24" t="s">
        <v>112</v>
      </c>
      <c r="B24" s="21">
        <f>'Inputs - Constants'!B60</f>
        <v>100</v>
      </c>
      <c r="C24" s="14">
        <f>'Inputs - Constants'!C60</f>
        <v>100</v>
      </c>
      <c r="D24" s="21">
        <f>'Inputs - Constants'!D60</f>
        <v>100</v>
      </c>
      <c r="E24" s="12" t="s">
        <v>113</v>
      </c>
    </row>
    <row r="25" spans="1:11">
      <c r="A25" s="7" t="s">
        <v>124</v>
      </c>
      <c r="B25" s="28">
        <f>'Inputs - Internet'!B5</f>
        <v>1.8120528E-5</v>
      </c>
      <c r="C25" s="29">
        <f>'Inputs - Internet'!C5</f>
        <v>1.8120528E-5</v>
      </c>
      <c r="D25" s="28">
        <f>'Inputs - Internet'!D5</f>
        <v>1.8120528E-5</v>
      </c>
      <c r="E25" t="s">
        <v>63</v>
      </c>
    </row>
    <row r="26" spans="1:11">
      <c r="A26" s="7" t="s">
        <v>125</v>
      </c>
      <c r="B26" s="30">
        <f>'Inputs - Internet'!B8</f>
        <v>1.401</v>
      </c>
      <c r="C26" s="31">
        <f>'Inputs - Internet'!C8</f>
        <v>1.401</v>
      </c>
      <c r="D26" s="30">
        <f>'Inputs - Internet'!D8</f>
        <v>1.401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Notes</vt:lpstr>
      <vt:lpstr>Results Sheet</vt:lpstr>
      <vt:lpstr>Inputs - Constants</vt:lpstr>
      <vt:lpstr>Inputs - Variables</vt:lpstr>
      <vt:lpstr>Inputs - Internet</vt:lpstr>
      <vt:lpstr>Air Pressure</vt:lpstr>
      <vt:lpstr>Dew Point</vt:lpstr>
      <vt:lpstr>Air Density</vt:lpstr>
      <vt:lpstr>Dimensions and Readings</vt:lpstr>
      <vt:lpstr>Re (1st iteration)</vt:lpstr>
      <vt:lpstr>C (1st iteration)</vt:lpstr>
      <vt:lpstr>Mass Flow Rate (1st iteration)</vt:lpstr>
      <vt:lpstr>Re (2nd iteration)</vt:lpstr>
      <vt:lpstr>C (2nd iteration)</vt:lpstr>
      <vt:lpstr>Mass Flow Rate (2nd iteration)</vt:lpstr>
      <vt:lpstr>Re (3rd iteration)</vt:lpstr>
      <vt:lpstr>C (3rd iteration)</vt:lpstr>
      <vt:lpstr>Mass Flow Rate (3rd iteration)</vt:lpstr>
      <vt:lpstr>Re (4th iteration)</vt:lpstr>
      <vt:lpstr>C (4th iteration)</vt:lpstr>
      <vt:lpstr>Mass Flow Rate (4th iteration)</vt:lpstr>
      <vt:lpstr>Final Calculations 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Version 1.03</dc:creator>
  <dc:description>1.01: Hyperlink fields merged to be as wide as text
1.01: Downstream tap text amended to show correct tolerance
1.01: "Notes" worksheet added
1.01: Diameter Ratio added to "Results" worksheet
1.02: Corrected ambient pressure added (corrected for latitude, elevation and temperature)
1.02: Discharge coefficient (C) added to "Results" worksheet
1.02: Dew point is now calculated
1.02: Air density is now calculated
1.02: Inputs separated into Constants, Variables and Internet
1.02: New link for dynamic viscosity
1.03: Min &amp; max calculations are now the same as nominal.  Ver 1.02 was the wrong calculation for min and max discharge coefficient.</dc:description>
  <cp:lastModifiedBy>LenovoLaptop</cp:lastModifiedBy>
  <dcterms:created xsi:type="dcterms:W3CDTF">2018-10-31T18:06:34Z</dcterms:created>
  <dcterms:modified xsi:type="dcterms:W3CDTF">2018-11-17T14:23:31Z</dcterms:modified>
  <cp:contentStatus/>
</cp:coreProperties>
</file>