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30" windowWidth="20115" windowHeight="8010"/>
  </bookViews>
  <sheets>
    <sheet name="Notes" sheetId="33" r:id="rId1"/>
    <sheet name="Results Sheet" sheetId="32" r:id="rId2"/>
    <sheet name="Inputs - Dimensions" sheetId="1" r:id="rId3"/>
    <sheet name="Inputs - Non-dimensional" sheetId="5" r:id="rId4"/>
    <sheet name="Inputs - Internet" sheetId="8" r:id="rId5"/>
    <sheet name="Dimensions and Readings" sheetId="2" state="hidden" r:id="rId6"/>
    <sheet name="Re (1st iteration)" sheetId="4" state="hidden" r:id="rId7"/>
    <sheet name="C (1st iteration)" sheetId="10" state="hidden" r:id="rId8"/>
    <sheet name="Mass Flow Rate (1st iteration)" sheetId="12" state="hidden" r:id="rId9"/>
    <sheet name="Re (2nd iteration)" sheetId="13" state="hidden" r:id="rId10"/>
    <sheet name="C (2nd iteration)" sheetId="24" state="hidden" r:id="rId11"/>
    <sheet name="Mass Flow Rate (2nd iteration)" sheetId="25" state="hidden" r:id="rId12"/>
    <sheet name="Re (3rd iteration)" sheetId="26" state="hidden" r:id="rId13"/>
    <sheet name="C (3rd iteration)" sheetId="27" state="hidden" r:id="rId14"/>
    <sheet name="Mass Flow Rate (3rd iteration)" sheetId="28" state="hidden" r:id="rId15"/>
    <sheet name="Re (4th iteration)" sheetId="29" state="hidden" r:id="rId16"/>
    <sheet name="C (4th iteration)" sheetId="30" state="hidden" r:id="rId17"/>
    <sheet name="Mass Flow Rate (4th iteration)" sheetId="31" state="hidden" r:id="rId18"/>
    <sheet name="Final Calculations Sheet" sheetId="23" state="hidden" r:id="rId19"/>
  </sheets>
  <calcPr calcId="125725"/>
</workbook>
</file>

<file path=xl/calcChain.xml><?xml version="1.0" encoding="utf-8"?>
<calcChain xmlns="http://schemas.openxmlformats.org/spreadsheetml/2006/main">
  <c r="F9" i="32"/>
  <c r="C9"/>
  <c r="E9"/>
  <c r="C58" i="1"/>
  <c r="C57"/>
  <c r="B40" i="5"/>
  <c r="B39"/>
  <c r="B38"/>
  <c r="B35"/>
  <c r="B34"/>
  <c r="B33"/>
  <c r="B29"/>
  <c r="B31"/>
  <c r="B30"/>
  <c r="D2" i="23"/>
  <c r="B4" i="29"/>
  <c r="D4" i="25"/>
  <c r="D5" s="1"/>
  <c r="D3" i="12"/>
  <c r="D9" i="10"/>
  <c r="B9"/>
  <c r="C9"/>
  <c r="C3" i="31"/>
  <c r="C3" i="25"/>
  <c r="D16" i="2"/>
  <c r="B16"/>
  <c r="B2" i="23" s="1"/>
  <c r="C16" i="2"/>
  <c r="C2" i="23" s="1"/>
  <c r="D10" i="8"/>
  <c r="B10"/>
  <c r="D11"/>
  <c r="B11"/>
  <c r="C19" i="2"/>
  <c r="D19"/>
  <c r="B19"/>
  <c r="C18"/>
  <c r="C4" i="13" s="1"/>
  <c r="D18" i="2"/>
  <c r="D4" i="13" s="1"/>
  <c r="B18" i="2"/>
  <c r="B4" i="26" s="1"/>
  <c r="D17" i="2"/>
  <c r="C17"/>
  <c r="B17"/>
  <c r="C15"/>
  <c r="C3" i="12" s="1"/>
  <c r="D15" i="2"/>
  <c r="D3" i="31" s="1"/>
  <c r="B15" i="2"/>
  <c r="B3" i="25" s="1"/>
  <c r="D4" i="8"/>
  <c r="B4"/>
  <c r="B2"/>
  <c r="D13" i="2"/>
  <c r="B12"/>
  <c r="B23" i="5"/>
  <c r="D12" i="2" s="1"/>
  <c r="B22" i="5"/>
  <c r="B21"/>
  <c r="C10" i="8" s="1"/>
  <c r="D11" i="2"/>
  <c r="D4" i="12" s="1"/>
  <c r="D5" s="1"/>
  <c r="D10" i="2"/>
  <c r="D3" i="23" s="1"/>
  <c r="D4" s="1"/>
  <c r="C10" i="2"/>
  <c r="C3" i="23" s="1"/>
  <c r="C4" s="1"/>
  <c r="D8" i="2"/>
  <c r="B6"/>
  <c r="C3"/>
  <c r="G2" i="1"/>
  <c r="D3" i="2" s="1"/>
  <c r="E2" i="1"/>
  <c r="B3" i="2" s="1"/>
  <c r="B7" i="5"/>
  <c r="B6"/>
  <c r="B10" i="2" s="1"/>
  <c r="B3" i="23" s="1"/>
  <c r="B4" s="1"/>
  <c r="B5" i="5"/>
  <c r="B56"/>
  <c r="D2" i="8" s="1"/>
  <c r="B55" i="5"/>
  <c r="B14" i="2" s="1"/>
  <c r="B54" i="5"/>
  <c r="C14" i="2" s="1"/>
  <c r="B48" i="5"/>
  <c r="D9" i="8" s="1"/>
  <c r="B47" i="5"/>
  <c r="B9" i="8" s="1"/>
  <c r="B46" i="5"/>
  <c r="C13" i="2" s="1"/>
  <c r="B15" i="5"/>
  <c r="B14"/>
  <c r="B13"/>
  <c r="C11" i="2" s="1"/>
  <c r="B58" i="1"/>
  <c r="D9" i="2" s="1"/>
  <c r="B57" i="1"/>
  <c r="B9" i="2" s="1"/>
  <c r="B56" i="1"/>
  <c r="C9" i="2" s="1"/>
  <c r="C51" i="1"/>
  <c r="B50"/>
  <c r="C8" i="2" s="1"/>
  <c r="B52" i="1"/>
  <c r="B51"/>
  <c r="B8" i="2" s="1"/>
  <c r="C5"/>
  <c r="B9" i="1"/>
  <c r="C46" s="1"/>
  <c r="B46"/>
  <c r="D7" i="2" s="1"/>
  <c r="B45" i="1"/>
  <c r="B7" i="2" s="1"/>
  <c r="B44" i="1"/>
  <c r="C7" i="2" s="1"/>
  <c r="B33" i="1"/>
  <c r="D6" i="2" s="1"/>
  <c r="B32" i="1"/>
  <c r="B31"/>
  <c r="C45" s="1"/>
  <c r="B20"/>
  <c r="D5" i="2" s="1"/>
  <c r="B19" i="1"/>
  <c r="B5" i="2" s="1"/>
  <c r="B18" i="1"/>
  <c r="B11"/>
  <c r="D4" i="2" s="1"/>
  <c r="B10" i="1"/>
  <c r="B4" i="2" s="1"/>
  <c r="C4" i="26" l="1"/>
  <c r="B3" i="28"/>
  <c r="B3" i="12"/>
  <c r="D4" i="26"/>
  <c r="C4" i="29"/>
  <c r="B4" i="13"/>
  <c r="D4" i="29"/>
  <c r="B3" i="31"/>
  <c r="C3" i="28"/>
  <c r="D3" i="25"/>
  <c r="D3" i="28"/>
  <c r="D4" i="31"/>
  <c r="D5" s="1"/>
  <c r="C52" i="1"/>
  <c r="C6" i="2"/>
  <c r="C4" i="12"/>
  <c r="C5" s="1"/>
  <c r="C4" i="25"/>
  <c r="C5" s="1"/>
  <c r="C4" i="31"/>
  <c r="C5" s="1"/>
  <c r="C4" i="28"/>
  <c r="C5" s="1"/>
  <c r="C12" i="2"/>
  <c r="I6" s="1"/>
  <c r="D14"/>
  <c r="C9" i="8"/>
  <c r="J7" i="2"/>
  <c r="B13"/>
  <c r="D3" i="8"/>
  <c r="D4" i="28"/>
  <c r="D5" s="1"/>
  <c r="H8" i="2"/>
  <c r="H7"/>
  <c r="B11"/>
  <c r="B3" i="8"/>
  <c r="H10" i="2"/>
  <c r="J8"/>
  <c r="J10"/>
  <c r="H6"/>
  <c r="J6"/>
  <c r="H4"/>
  <c r="J9"/>
  <c r="H3"/>
  <c r="H5"/>
  <c r="H9"/>
  <c r="J4"/>
  <c r="J5"/>
  <c r="I8"/>
  <c r="I9"/>
  <c r="I10"/>
  <c r="J3"/>
  <c r="C2" i="8"/>
  <c r="C33" i="1"/>
  <c r="C32"/>
  <c r="C4" i="2"/>
  <c r="C11" i="1"/>
  <c r="C10"/>
  <c r="D32"/>
  <c r="C20"/>
  <c r="C19"/>
  <c r="H11" i="2" l="1"/>
  <c r="H15" s="1"/>
  <c r="C5" i="30"/>
  <c r="C5" i="27"/>
  <c r="C5" i="24"/>
  <c r="B3" i="29"/>
  <c r="B3" i="27"/>
  <c r="B3" i="30"/>
  <c r="B3" i="26"/>
  <c r="B3" i="24"/>
  <c r="B3" i="10"/>
  <c r="B3" i="13"/>
  <c r="J12" i="2"/>
  <c r="D5" i="27"/>
  <c r="D5" i="24"/>
  <c r="D5" i="10"/>
  <c r="D5" i="30"/>
  <c r="C6" i="27"/>
  <c r="C6" i="30"/>
  <c r="C6" i="24"/>
  <c r="H13" i="2"/>
  <c r="B6" i="27"/>
  <c r="B6" i="24"/>
  <c r="B6" i="10"/>
  <c r="B6" i="30"/>
  <c r="B4" i="31"/>
  <c r="B5" s="1"/>
  <c r="B4" i="25"/>
  <c r="B5" s="1"/>
  <c r="B4" i="12"/>
  <c r="B5" s="1"/>
  <c r="B4" i="28"/>
  <c r="B5" s="1"/>
  <c r="C3" i="8"/>
  <c r="H12" i="2"/>
  <c r="B5" i="24"/>
  <c r="B5" i="10"/>
  <c r="B5" i="30"/>
  <c r="B7" s="1"/>
  <c r="B17" s="1"/>
  <c r="B5" i="27"/>
  <c r="J11" i="2"/>
  <c r="J15" s="1"/>
  <c r="D2" i="12"/>
  <c r="D2" i="30"/>
  <c r="D2" i="28"/>
  <c r="D2" i="31"/>
  <c r="D2" i="25"/>
  <c r="D2" i="24"/>
  <c r="D2" i="10"/>
  <c r="D2" i="27"/>
  <c r="D4" s="1"/>
  <c r="D3" i="24"/>
  <c r="D3" i="10"/>
  <c r="D3" i="30"/>
  <c r="D3" i="29"/>
  <c r="D3" i="27"/>
  <c r="D3" i="13"/>
  <c r="D3" i="26"/>
  <c r="C2" i="12"/>
  <c r="C2" i="25"/>
  <c r="C2" i="24"/>
  <c r="C2" i="28"/>
  <c r="C2" i="30"/>
  <c r="C2" i="27"/>
  <c r="C2" i="31"/>
  <c r="J13" i="2"/>
  <c r="D6" i="30"/>
  <c r="D6" i="24"/>
  <c r="D8" s="1"/>
  <c r="D6" i="27"/>
  <c r="D6" i="10"/>
  <c r="B2" i="30"/>
  <c r="B4" s="1"/>
  <c r="B2" i="28"/>
  <c r="B2" i="12"/>
  <c r="B2" i="27"/>
  <c r="B2" i="31"/>
  <c r="B2" i="25"/>
  <c r="B2" i="24"/>
  <c r="B2" i="10"/>
  <c r="I5" i="2"/>
  <c r="I4"/>
  <c r="I3"/>
  <c r="C6" i="10"/>
  <c r="I7" i="2"/>
  <c r="C5" i="10"/>
  <c r="C2"/>
  <c r="H14" i="2" l="1"/>
  <c r="D8" i="27"/>
  <c r="D18" s="1"/>
  <c r="B8" i="24"/>
  <c r="B7"/>
  <c r="B4"/>
  <c r="B14" s="1"/>
  <c r="D4"/>
  <c r="D18" s="1"/>
  <c r="D4" i="30"/>
  <c r="D15" s="1"/>
  <c r="D7" i="24"/>
  <c r="B7" i="10"/>
  <c r="B4"/>
  <c r="B8"/>
  <c r="B7" i="27"/>
  <c r="B8" i="30"/>
  <c r="B18" s="1"/>
  <c r="B4" i="27"/>
  <c r="B15" s="1"/>
  <c r="D14" i="30"/>
  <c r="C3" i="29"/>
  <c r="C3" i="26"/>
  <c r="C3" i="24"/>
  <c r="C7" s="1"/>
  <c r="C3" i="30"/>
  <c r="C7" s="1"/>
  <c r="C3" i="13"/>
  <c r="C3" i="27"/>
  <c r="C4" s="1"/>
  <c r="D4" i="10"/>
  <c r="D7"/>
  <c r="D7" i="30"/>
  <c r="D17" s="1"/>
  <c r="D14" i="24"/>
  <c r="D14" i="27"/>
  <c r="D15"/>
  <c r="B14" i="30"/>
  <c r="B15"/>
  <c r="D8" i="10"/>
  <c r="J14" i="2"/>
  <c r="D8" i="30"/>
  <c r="C4"/>
  <c r="B8" i="27"/>
  <c r="D7"/>
  <c r="D17" s="1"/>
  <c r="C3" i="10"/>
  <c r="C8" s="1"/>
  <c r="I11" i="2"/>
  <c r="I12"/>
  <c r="I13"/>
  <c r="B15" i="24" l="1"/>
  <c r="B17"/>
  <c r="B18"/>
  <c r="D15"/>
  <c r="D17"/>
  <c r="B17" i="10"/>
  <c r="C8" i="30"/>
  <c r="C8" i="27"/>
  <c r="C18" s="1"/>
  <c r="C7"/>
  <c r="B17"/>
  <c r="B14"/>
  <c r="B16" i="10"/>
  <c r="B15"/>
  <c r="B14"/>
  <c r="B18"/>
  <c r="C8" i="24"/>
  <c r="C17" i="30"/>
  <c r="D17" i="10"/>
  <c r="C4" i="24"/>
  <c r="C14" s="1"/>
  <c r="C14" i="27"/>
  <c r="C15"/>
  <c r="C15" i="30"/>
  <c r="C14"/>
  <c r="D18" i="10"/>
  <c r="C17" i="27"/>
  <c r="B18"/>
  <c r="D18" i="30"/>
  <c r="D15" i="10"/>
  <c r="D16"/>
  <c r="D14"/>
  <c r="I14" i="2"/>
  <c r="I15"/>
  <c r="C7" i="10"/>
  <c r="C4"/>
  <c r="C15" i="24" l="1"/>
  <c r="C18" i="30"/>
  <c r="C17" i="24"/>
  <c r="B20" i="10"/>
  <c r="B7" i="12" s="1"/>
  <c r="B2" i="13" s="1"/>
  <c r="B6" s="1"/>
  <c r="B9" i="24" s="1"/>
  <c r="C18"/>
  <c r="D20" i="10"/>
  <c r="D7" i="12" s="1"/>
  <c r="D2" i="13" s="1"/>
  <c r="D6" s="1"/>
  <c r="D9" i="24" s="1"/>
  <c r="C17" i="10"/>
  <c r="C15"/>
  <c r="C16"/>
  <c r="C18"/>
  <c r="C14"/>
  <c r="B16" i="24" l="1"/>
  <c r="B20" s="1"/>
  <c r="B7" i="25" s="1"/>
  <c r="B2" i="26" s="1"/>
  <c r="B6" s="1"/>
  <c r="B9" i="27" s="1"/>
  <c r="D16" i="24"/>
  <c r="D20" s="1"/>
  <c r="D7" i="25" s="1"/>
  <c r="D2" i="26" s="1"/>
  <c r="D6" s="1"/>
  <c r="D9" i="27" s="1"/>
  <c r="C20" i="10"/>
  <c r="C7" i="12" s="1"/>
  <c r="B16" i="27" l="1"/>
  <c r="B20" s="1"/>
  <c r="B7" i="28" s="1"/>
  <c r="B2" i="29" s="1"/>
  <c r="B6" s="1"/>
  <c r="B9" i="30" s="1"/>
  <c r="D16" i="27"/>
  <c r="D20" s="1"/>
  <c r="D7" i="28" s="1"/>
  <c r="D2" i="29" s="1"/>
  <c r="D6" s="1"/>
  <c r="D9" i="30" s="1"/>
  <c r="C2" i="13"/>
  <c r="C6" s="1"/>
  <c r="C9" i="24" s="1"/>
  <c r="B16" i="30" l="1"/>
  <c r="B20" s="1"/>
  <c r="B7" i="31" s="1"/>
  <c r="B5" i="23" s="1"/>
  <c r="B6" s="1"/>
  <c r="B10" s="1"/>
  <c r="E6" i="32" s="1"/>
  <c r="D16" i="30"/>
  <c r="D20" s="1"/>
  <c r="D7" i="31" s="1"/>
  <c r="D5" i="23" s="1"/>
  <c r="D6" s="1"/>
  <c r="C16" i="24"/>
  <c r="C20" s="1"/>
  <c r="C7" i="25" s="1"/>
  <c r="C2" i="26" s="1"/>
  <c r="C6" s="1"/>
  <c r="C9" i="27" s="1"/>
  <c r="B9" i="23" l="1"/>
  <c r="E5" i="32" s="1"/>
  <c r="B8" i="23"/>
  <c r="E4" i="32" s="1"/>
  <c r="H17" i="2"/>
  <c r="J17"/>
  <c r="D9" i="23"/>
  <c r="F5" i="32" s="1"/>
  <c r="D10" i="23"/>
  <c r="F6" i="32" s="1"/>
  <c r="D8" i="23"/>
  <c r="F4" i="32" s="1"/>
  <c r="C16" i="27"/>
  <c r="C20" s="1"/>
  <c r="C7" i="28" s="1"/>
  <c r="C2" i="29" s="1"/>
  <c r="C6" s="1"/>
  <c r="C9" i="30" s="1"/>
  <c r="C16" l="1"/>
  <c r="C20" s="1"/>
  <c r="C7" i="31" s="1"/>
  <c r="C5" i="23" s="1"/>
  <c r="C6" s="1"/>
  <c r="I17" i="2" l="1"/>
  <c r="C8" i="23"/>
  <c r="C4" i="32" s="1"/>
  <c r="C10" i="23"/>
  <c r="C6" i="32" s="1"/>
  <c r="C9" i="23"/>
  <c r="C5" i="32" s="1"/>
</calcChain>
</file>

<file path=xl/sharedStrings.xml><?xml version="1.0" encoding="utf-8"?>
<sst xmlns="http://schemas.openxmlformats.org/spreadsheetml/2006/main" count="415" uniqueCount="184">
  <si>
    <t>i - v</t>
  </si>
  <si>
    <t>ii - vi</t>
  </si>
  <si>
    <t>iii - vii</t>
  </si>
  <si>
    <t>iiii - viii</t>
  </si>
  <si>
    <t xml:space="preserve">D = </t>
  </si>
  <si>
    <t xml:space="preserve">D(min) = </t>
  </si>
  <si>
    <t xml:space="preserve">D(max) = </t>
  </si>
  <si>
    <t>Error</t>
  </si>
  <si>
    <t>i</t>
  </si>
  <si>
    <t>ii</t>
  </si>
  <si>
    <t>v</t>
  </si>
  <si>
    <t>vi</t>
  </si>
  <si>
    <t>vii</t>
  </si>
  <si>
    <t>viii</t>
  </si>
  <si>
    <t>Max Allowable Error</t>
  </si>
  <si>
    <t xml:space="preserve">e = </t>
  </si>
  <si>
    <t xml:space="preserve">e(min) = </t>
  </si>
  <si>
    <t xml:space="preserve">e(max) = </t>
  </si>
  <si>
    <t xml:space="preserve">d = </t>
  </si>
  <si>
    <t xml:space="preserve">d(min) = </t>
  </si>
  <si>
    <t xml:space="preserve">d(max) = </t>
  </si>
  <si>
    <t>iii</t>
  </si>
  <si>
    <t>iiii</t>
  </si>
  <si>
    <t xml:space="preserve">E = </t>
  </si>
  <si>
    <t xml:space="preserve">E(min) = </t>
  </si>
  <si>
    <t xml:space="preserve">E(max) = </t>
  </si>
  <si>
    <t>Allowed</t>
  </si>
  <si>
    <t>°C</t>
  </si>
  <si>
    <t xml:space="preserve">l1 = </t>
  </si>
  <si>
    <t xml:space="preserve">l1(min) = </t>
  </si>
  <si>
    <t xml:space="preserve">l1(max) = </t>
  </si>
  <si>
    <t xml:space="preserve">ß = </t>
  </si>
  <si>
    <t xml:space="preserve">L1 = </t>
  </si>
  <si>
    <t xml:space="preserve">L2 = </t>
  </si>
  <si>
    <t xml:space="preserve">Re(1) = </t>
  </si>
  <si>
    <t xml:space="preserve">C(1) = </t>
  </si>
  <si>
    <t xml:space="preserve">Term 1 = </t>
  </si>
  <si>
    <t xml:space="preserve">Term 2 = </t>
  </si>
  <si>
    <t xml:space="preserve">Term 3 = </t>
  </si>
  <si>
    <t xml:space="preserve">Term 4 = </t>
  </si>
  <si>
    <t xml:space="preserve">Term 5 = </t>
  </si>
  <si>
    <t xml:space="preserve">Term 6 = </t>
  </si>
  <si>
    <t>Ambient Pressure (mBar)</t>
  </si>
  <si>
    <t xml:space="preserve">P1(min) = </t>
  </si>
  <si>
    <t xml:space="preserve">P1(max) = </t>
  </si>
  <si>
    <t>mm H2O</t>
  </si>
  <si>
    <t xml:space="preserve">Delta P = </t>
  </si>
  <si>
    <t xml:space="preserve">Delta P(min) = </t>
  </si>
  <si>
    <t xml:space="preserve">Delta P(max) = </t>
  </si>
  <si>
    <t xml:space="preserve">Pressure Ratio (min) = </t>
  </si>
  <si>
    <t xml:space="preserve">Pressure Ratio (max) = </t>
  </si>
  <si>
    <t xml:space="preserve">Isentropic Exponent (k) = </t>
  </si>
  <si>
    <t xml:space="preserve">Coefficient of Themal Expansion = </t>
  </si>
  <si>
    <t>https://www.engineeringtoolbox.com/linear-expansion-coefficients-d_95.html</t>
  </si>
  <si>
    <t>(micro metres per metre per Kelvin)</t>
  </si>
  <si>
    <t>Ambient Temperature (°C)</t>
  </si>
  <si>
    <t>Temperature at the Upstream Tap (°C)</t>
  </si>
  <si>
    <t xml:space="preserve">l2 = </t>
  </si>
  <si>
    <t xml:space="preserve">Air Density @ Upstream Tapping Temperature = </t>
  </si>
  <si>
    <t>https://www.gribble.org/cycling/air_density.html</t>
  </si>
  <si>
    <t xml:space="preserve">Dew Point = </t>
  </si>
  <si>
    <t>http://www.dpcalc.org/</t>
  </si>
  <si>
    <t xml:space="preserve">Humidity = </t>
  </si>
  <si>
    <t>%</t>
  </si>
  <si>
    <t>kg/cu m</t>
  </si>
  <si>
    <t>Pressure Difference Across Test Orifice (mm H2O)</t>
  </si>
  <si>
    <t>https://www.engineeringtoolbox.com/specific-heat-ratio-d_602.html</t>
  </si>
  <si>
    <t>https://www.lmnoeng.com/Flow/GasViscosity.php</t>
  </si>
  <si>
    <t xml:space="preserve">Dynamic Viscosity (µ) = </t>
  </si>
  <si>
    <t>N-s/m2</t>
  </si>
  <si>
    <t>See BS1042-1.1:1987, 7.3.2.1</t>
  </si>
  <si>
    <t xml:space="preserve">Test P = </t>
  </si>
  <si>
    <t xml:space="preserve">Test P(min) = </t>
  </si>
  <si>
    <t xml:space="preserve">Test P(max) = </t>
  </si>
  <si>
    <t xml:space="preserve">T1 = </t>
  </si>
  <si>
    <t xml:space="preserve">T1(min) = </t>
  </si>
  <si>
    <t xml:space="preserve">T1(max) = </t>
  </si>
  <si>
    <t>N/sq m</t>
  </si>
  <si>
    <t xml:space="preserve">Air Density = </t>
  </si>
  <si>
    <t>kg/s</t>
  </si>
  <si>
    <t xml:space="preserve">Re(2) = </t>
  </si>
  <si>
    <t xml:space="preserve">Re(3) = </t>
  </si>
  <si>
    <t xml:space="preserve">Re(4) = </t>
  </si>
  <si>
    <t xml:space="preserve">q(v) = </t>
  </si>
  <si>
    <t>cu m/s</t>
  </si>
  <si>
    <t xml:space="preserve">q(v) @ 10" H2O = </t>
  </si>
  <si>
    <t xml:space="preserve">q(v) @ 25" H2O = </t>
  </si>
  <si>
    <t xml:space="preserve">q(v) @ 28" H2O = </t>
  </si>
  <si>
    <t xml:space="preserve">Test Orifice Depression = </t>
  </si>
  <si>
    <t>in H2O</t>
  </si>
  <si>
    <t>CFM</t>
  </si>
  <si>
    <t>Temperature at Measuring Station (Tm)</t>
  </si>
  <si>
    <t>Tm(min) =</t>
  </si>
  <si>
    <t>Tm(max) =</t>
  </si>
  <si>
    <t>min</t>
  </si>
  <si>
    <t>max</t>
  </si>
  <si>
    <t>nominal</t>
  </si>
  <si>
    <t>Dimensions and Readings</t>
  </si>
  <si>
    <t>Common Calculations</t>
  </si>
  <si>
    <t>Orifice Thickness (e)</t>
  </si>
  <si>
    <t>Orifice Plate Thickness (E)</t>
  </si>
  <si>
    <t>Pressure Difference Across Test Orifice (Test Delta P)</t>
  </si>
  <si>
    <t>Pressure Difference Across Measuring Orifice (Delta P)</t>
  </si>
  <si>
    <t>Ambient Pressure (Amb P)</t>
  </si>
  <si>
    <t xml:space="preserve">Amb P = </t>
  </si>
  <si>
    <t xml:space="preserve">Amb P(min) = </t>
  </si>
  <si>
    <t xml:space="preserve">Amb P(max) = </t>
  </si>
  <si>
    <t>Upstream Pressure (P1)</t>
  </si>
  <si>
    <t>mm</t>
  </si>
  <si>
    <t>mBar</t>
  </si>
  <si>
    <t>Ambient Temperature (Amb T)</t>
  </si>
  <si>
    <t>Temperature at Upstream Tap (T1)</t>
  </si>
  <si>
    <t xml:space="preserve">Temperature (T1) = </t>
  </si>
  <si>
    <t xml:space="preserve">Pressure (P1) = </t>
  </si>
  <si>
    <t>Air Density at Upstream Tap (Rho 1)</t>
  </si>
  <si>
    <t>Orifice Diameter (unadjusted for temp) (d)</t>
  </si>
  <si>
    <t>Bore Diameter (unadjusted for temp) (D)</t>
  </si>
  <si>
    <t>Bore Diameter (adjusted for temperature) (D)</t>
  </si>
  <si>
    <t>Orifice Diameter (adjusted for temperature) (d)</t>
  </si>
  <si>
    <t>Coefficient of Thermal Expansion</t>
  </si>
  <si>
    <t>µm/mK</t>
  </si>
  <si>
    <t>Distance to Upstream Tap (unadjusted for temp) (l1)</t>
  </si>
  <si>
    <t>Distance to Downstream Tap (unadjusted for temp) (l2)</t>
  </si>
  <si>
    <t>Distance to Downstream Tap (adjusted for temp) (l2)</t>
  </si>
  <si>
    <t>Distance to Upstream Tap (adjusted for temp) (l1)</t>
  </si>
  <si>
    <t>Diameter Ratio (unadjusted for temp) (ß)</t>
  </si>
  <si>
    <t>Relative Upstream Tap Ratio (unadjusted for temp) (L1)</t>
  </si>
  <si>
    <t>Relative Downstream Tap Ratio (unadjusted for temp) (L2)</t>
  </si>
  <si>
    <t>Diameter Ratio (adjusted for temp) (ß)</t>
  </si>
  <si>
    <t>Relative Upstream Tap Ratio (adjusted for temp) (L1)</t>
  </si>
  <si>
    <t>Relative Downstream Tap Ratio (adjusted for temp) (L2)</t>
  </si>
  <si>
    <t>Dynamic Viscosity (µ)</t>
  </si>
  <si>
    <t>Isentropic Exponent (k)</t>
  </si>
  <si>
    <t>Expansion Factor (€)</t>
  </si>
  <si>
    <t>Approach Velocity Factor (E)</t>
  </si>
  <si>
    <t>Volume Flow Rate [ q(v) ]</t>
  </si>
  <si>
    <t xml:space="preserve">Amb T = </t>
  </si>
  <si>
    <t xml:space="preserve">Amb T(min) = </t>
  </si>
  <si>
    <t xml:space="preserve">Amb T(max) = </t>
  </si>
  <si>
    <t xml:space="preserve">Temperature (Amb 1) = </t>
  </si>
  <si>
    <t xml:space="preserve">Pressure (Amb P) = </t>
  </si>
  <si>
    <t>Air Density at Test Orifice (Rho Test)</t>
  </si>
  <si>
    <t xml:space="preserve">q(m) (1) = </t>
  </si>
  <si>
    <t xml:space="preserve">C(2) = </t>
  </si>
  <si>
    <t xml:space="preserve">q(m) (2) = </t>
  </si>
  <si>
    <t xml:space="preserve">q(m) (3) = </t>
  </si>
  <si>
    <t xml:space="preserve">C(4) = </t>
  </si>
  <si>
    <t xml:space="preserve">C(3) = </t>
  </si>
  <si>
    <t>(min)</t>
  </si>
  <si>
    <t>(max)</t>
  </si>
  <si>
    <t xml:space="preserve">q(m) (4) = </t>
  </si>
  <si>
    <t>The system is outside the scope of BS1042 if either of these values is greater than 0.3%</t>
  </si>
  <si>
    <t>The system is outside the scope of BS1042 if either of these values is greater than 0.05%</t>
  </si>
  <si>
    <t>The system is outside the scope of BS1042 if either of these values is greater than the max allowable error (0.001D)</t>
  </si>
  <si>
    <t>The system is outside the scope of BS1042 if E(min) is less than the minimum thickness or E(max) is greater than the maximum allowable thickness</t>
  </si>
  <si>
    <t>The system is outside the scope of BS1042 if l1(min) is less 0.9D or l1(max) is greater than 1.1D</t>
  </si>
  <si>
    <t>The system is outside the scope of BS1042 if any of these values is less than 0.75</t>
  </si>
  <si>
    <t>Bore Diameter in Region of Orifice Plate (see 6.1.5)</t>
  </si>
  <si>
    <t>Orifice Thickness (see Figure 2, 7.1.4.1 &amp; 7.1.4.2)</t>
  </si>
  <si>
    <t>Orifice Plate Thickness (see Figure 2, 7.1.4.3 &amp; 7.1.4.4)</t>
  </si>
  <si>
    <t>Orifice Diameter (see 7.1.7.2)</t>
  </si>
  <si>
    <t>Distance to Upstream Tap (see Figure 3 &amp; 7.2.3.4)</t>
  </si>
  <si>
    <t>Distance to Downstream Tap (see Figure 3 &amp; 7.2.3.4)</t>
  </si>
  <si>
    <t>BS 1042 Part 1 Section 1 : 1981</t>
  </si>
  <si>
    <t>(Measured 5D Downstream from Orifice Plate)</t>
  </si>
  <si>
    <t>Pressure Difference Across Measurement Orifice (mm H2O)</t>
  </si>
  <si>
    <t>Pressure Difference Between Downstream Tap &amp; Atmosphere</t>
  </si>
  <si>
    <t xml:space="preserve">Upstream Tap Pressure                                                                           P1 = </t>
  </si>
  <si>
    <t xml:space="preserve">Absolute Downstream Tap Pressure                                                 P2 = </t>
  </si>
  <si>
    <t xml:space="preserve">P2(min) = </t>
  </si>
  <si>
    <t xml:space="preserve">P2(max) = </t>
  </si>
  <si>
    <t xml:space="preserve">P2/P1 = </t>
  </si>
  <si>
    <t>(see 3.4.2)</t>
  </si>
  <si>
    <t>Pressure Ratio (See 2.2.4 &amp; 5.3.3)</t>
  </si>
  <si>
    <t xml:space="preserve">l2(min) = </t>
  </si>
  <si>
    <t xml:space="preserve">l2(max) = </t>
  </si>
  <si>
    <t>The system is outside the scope of BS1042 if l2(min) is less 0.48D or l2(max) is greater than 0.52D</t>
  </si>
  <si>
    <t>The calculations in this workbook are based on those in</t>
  </si>
  <si>
    <t>Uncertainty (tolerance) is based on worse-case scenario</t>
  </si>
  <si>
    <t>Populate the yellow boxes</t>
  </si>
  <si>
    <t>You can access the calculations and hidden sheets by unprotecting sheets and the workbook as appropriate</t>
  </si>
  <si>
    <t>The calculations are valid for Diameter Ratioes between 0.2 and 0.6 (0.2 &lt; ß &lt; 0.6)</t>
  </si>
  <si>
    <t>The results cannot be trusted if your system is out of tolerance with any part of the standard</t>
  </si>
  <si>
    <t xml:space="preserve">Diameter Ratio = 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</si>
</sst>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0E+00"/>
    <numFmt numFmtId="167" formatCode="0.000000000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/>
    <xf numFmtId="0" fontId="0" fillId="0" borderId="0" xfId="0" applyAlignment="1"/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165" fontId="1" fillId="3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67" fontId="0" fillId="0" borderId="0" xfId="0" applyNumberFormat="1"/>
    <xf numFmtId="167" fontId="1" fillId="3" borderId="1" xfId="0" applyNumberFormat="1" applyFont="1" applyFill="1" applyBorder="1"/>
    <xf numFmtId="164" fontId="0" fillId="0" borderId="0" xfId="0" applyNumberFormat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9" xfId="0" applyFont="1" applyBorder="1" applyAlignment="1" applyProtection="1">
      <alignment horizontal="right"/>
    </xf>
    <xf numFmtId="165" fontId="5" fillId="0" borderId="10" xfId="0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165" fontId="0" fillId="0" borderId="0" xfId="0" applyNumberFormat="1" applyAlignment="1" applyProtection="1">
      <alignment horizontal="center" vertical="center"/>
    </xf>
    <xf numFmtId="0" fontId="5" fillId="0" borderId="12" xfId="0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right"/>
    </xf>
    <xf numFmtId="165" fontId="5" fillId="0" borderId="15" xfId="0" applyNumberFormat="1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165" fontId="0" fillId="0" borderId="0" xfId="0" applyNumberFormat="1" applyAlignment="1" applyProtection="1">
      <alignment horizontal="right" vertical="center"/>
    </xf>
    <xf numFmtId="164" fontId="0" fillId="0" borderId="0" xfId="0" applyNumberFormat="1" applyAlignment="1" applyProtection="1">
      <alignment horizontal="center"/>
    </xf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7" xfId="1" applyBorder="1" applyAlignment="1" applyProtection="1">
      <alignment horizontal="left"/>
    </xf>
    <xf numFmtId="0" fontId="4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ineeringtoolbox.com/linear-expansion-coefficients-d_95.html" TargetMode="External"/><Relationship Id="rId7" Type="http://schemas.openxmlformats.org/officeDocument/2006/relationships/hyperlink" Target="http://www.dpcalc.org/" TargetMode="External"/><Relationship Id="rId2" Type="http://schemas.openxmlformats.org/officeDocument/2006/relationships/hyperlink" Target="http://www.dpcalc.org/" TargetMode="External"/><Relationship Id="rId1" Type="http://schemas.openxmlformats.org/officeDocument/2006/relationships/hyperlink" Target="https://www.gribble.org/cycling/air_density.html" TargetMode="External"/><Relationship Id="rId6" Type="http://schemas.openxmlformats.org/officeDocument/2006/relationships/hyperlink" Target="https://www.gribble.org/cycling/air_density.html" TargetMode="External"/><Relationship Id="rId5" Type="http://schemas.openxmlformats.org/officeDocument/2006/relationships/hyperlink" Target="https://www.engineeringtoolbox.com/specific-heat-ratio-d_602.html" TargetMode="External"/><Relationship Id="rId4" Type="http://schemas.openxmlformats.org/officeDocument/2006/relationships/hyperlink" Target="https://www.lmnoeng.com/Flow/GasViscosity.ph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C5" sqref="C5:G5"/>
    </sheetView>
  </sheetViews>
  <sheetFormatPr defaultColWidth="0" defaultRowHeight="15" zeroHeight="1"/>
  <cols>
    <col min="1" max="1" width="9.140625" style="53" customWidth="1"/>
    <col min="2" max="2" width="2.85546875" style="53" customWidth="1"/>
    <col min="3" max="12" width="9.140625" style="53" customWidth="1"/>
    <col min="13" max="13" width="3.7109375" style="53" customWidth="1"/>
    <col min="14" max="14" width="2.85546875" style="53" customWidth="1"/>
    <col min="15" max="15" width="9.140625" style="53" customWidth="1"/>
    <col min="16" max="16384" width="9.140625" style="53" hidden="1"/>
  </cols>
  <sheetData>
    <row r="1" spans="2:14" ht="48" customHeight="1" thickBot="1"/>
    <row r="2" spans="2:14" ht="1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>
      <c r="B3" s="57"/>
      <c r="C3" s="65" t="s">
        <v>177</v>
      </c>
      <c r="D3" s="65"/>
      <c r="E3" s="65"/>
      <c r="F3" s="65"/>
      <c r="G3" s="65"/>
      <c r="H3" s="65"/>
      <c r="I3" s="58"/>
      <c r="J3" s="58"/>
      <c r="K3" s="58"/>
      <c r="L3" s="58"/>
      <c r="M3" s="58"/>
      <c r="N3" s="59"/>
    </row>
    <row r="4" spans="2:14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2:14" ht="21">
      <c r="B5" s="57"/>
      <c r="C5" s="66" t="s">
        <v>163</v>
      </c>
      <c r="D5" s="66"/>
      <c r="E5" s="66"/>
      <c r="F5" s="66"/>
      <c r="G5" s="66"/>
      <c r="H5" s="58"/>
      <c r="I5" s="58"/>
      <c r="J5" s="58"/>
      <c r="K5" s="58"/>
      <c r="L5" s="58"/>
      <c r="M5" s="58"/>
      <c r="N5" s="59"/>
    </row>
    <row r="6" spans="2:14">
      <c r="B6" s="57"/>
      <c r="K6" s="58"/>
      <c r="L6" s="58"/>
      <c r="M6" s="58"/>
      <c r="N6" s="59"/>
    </row>
    <row r="7" spans="2:14">
      <c r="B7" s="57"/>
      <c r="C7" s="68" t="s">
        <v>181</v>
      </c>
      <c r="D7" s="68"/>
      <c r="E7" s="68"/>
      <c r="F7" s="68"/>
      <c r="G7" s="68"/>
      <c r="H7" s="68"/>
      <c r="I7" s="68"/>
      <c r="J7" s="68"/>
      <c r="K7" s="58"/>
      <c r="L7" s="58"/>
      <c r="M7" s="58"/>
      <c r="N7" s="59"/>
    </row>
    <row r="8" spans="2:14">
      <c r="B8" s="57"/>
      <c r="C8" s="65" t="s">
        <v>178</v>
      </c>
      <c r="D8" s="65"/>
      <c r="E8" s="65"/>
      <c r="F8" s="65"/>
      <c r="G8" s="65"/>
      <c r="H8" s="65"/>
      <c r="K8" s="58"/>
      <c r="L8" s="58"/>
      <c r="M8" s="58"/>
      <c r="N8" s="59"/>
    </row>
    <row r="9" spans="2:14">
      <c r="B9" s="57"/>
      <c r="C9" s="68" t="s">
        <v>182</v>
      </c>
      <c r="D9" s="68"/>
      <c r="E9" s="68"/>
      <c r="F9" s="68"/>
      <c r="G9" s="68"/>
      <c r="H9" s="68"/>
      <c r="I9" s="68"/>
      <c r="J9" s="68"/>
      <c r="K9" s="68"/>
      <c r="L9" s="58"/>
      <c r="M9" s="58"/>
      <c r="N9" s="59"/>
    </row>
    <row r="10" spans="2:14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</row>
    <row r="11" spans="2:14">
      <c r="B11" s="57"/>
      <c r="C11" s="67" t="s">
        <v>179</v>
      </c>
      <c r="D11" s="67"/>
      <c r="E11" s="67"/>
      <c r="F11" s="58"/>
      <c r="G11" s="58"/>
      <c r="H11" s="58"/>
      <c r="I11" s="58"/>
      <c r="J11" s="58"/>
      <c r="K11" s="58"/>
      <c r="L11" s="58"/>
      <c r="M11" s="58"/>
      <c r="N11" s="59"/>
    </row>
    <row r="12" spans="2:14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/>
    </row>
    <row r="13" spans="2:14">
      <c r="B13" s="57"/>
      <c r="C13" s="65" t="s">
        <v>180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/>
    </row>
    <row r="14" spans="2:14" ht="15.75" thickBot="1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2:14" ht="48" customHeight="1"/>
  </sheetData>
  <sheetProtection sheet="1" objects="1" scenarios="1" selectLockedCells="1"/>
  <mergeCells count="7">
    <mergeCell ref="C3:H3"/>
    <mergeCell ref="C5:G5"/>
    <mergeCell ref="C8:H8"/>
    <mergeCell ref="C11:E11"/>
    <mergeCell ref="C13:M13"/>
    <mergeCell ref="C7:J7"/>
    <mergeCell ref="C9:K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5"/>
  <cols>
    <col min="1" max="1" width="22.140625" style="1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142</v>
      </c>
      <c r="B2" s="25">
        <f>'Mass Flow Rate (1st iteration)'!B7</f>
        <v>5.9110697711062025E-2</v>
      </c>
      <c r="C2" s="25">
        <f>'Mass Flow Rate (1st iteration)'!C7</f>
        <v>6.112881741337306E-2</v>
      </c>
      <c r="D2" s="25">
        <f>'Mass Flow Rate (1st iteration)'!D7</f>
        <v>6.2664670925211316E-2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68</v>
      </c>
      <c r="B4" s="34">
        <f>'Dimensions and Readings'!B18</f>
        <v>1.9084273999999998E-5</v>
      </c>
      <c r="C4" s="34">
        <f>'Dimensions and Readings'!C18</f>
        <v>1.9122982E-5</v>
      </c>
      <c r="D4" s="34">
        <f>'Dimensions and Readings'!D18</f>
        <v>1.9161643000000001E-5</v>
      </c>
    </row>
    <row r="5" spans="1:4">
      <c r="B5" s="25"/>
      <c r="C5" s="25"/>
      <c r="D5" s="25"/>
    </row>
    <row r="6" spans="1:4">
      <c r="A6" s="1" t="s">
        <v>80</v>
      </c>
      <c r="B6" s="21">
        <f>(4*B2)/(PI()*(B3/1000)*B4)</f>
        <v>60823.100212204205</v>
      </c>
      <c r="C6" s="14">
        <f>(4*C2)/(PI()*(C3/1000)*C4)</f>
        <v>62428.88201874576</v>
      </c>
      <c r="D6" s="21">
        <f>(4*D2)/(PI()*(D3/1000)*D4)</f>
        <v>63617.318653288974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0" sqref="C20"/>
    </sheetView>
  </sheetViews>
  <sheetFormatPr defaultRowHeight="15"/>
  <cols>
    <col min="1" max="1" width="19.42578125" customWidth="1"/>
    <col min="2" max="4" width="12.7109375" style="25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31</v>
      </c>
      <c r="B4" s="25">
        <f>B2/B3</f>
        <v>0.59663216437509647</v>
      </c>
      <c r="C4" s="25">
        <f>C2/C3</f>
        <v>0.59557627531090318</v>
      </c>
      <c r="D4" s="25">
        <f>D2/D3</f>
        <v>0.5952526799387442</v>
      </c>
    </row>
    <row r="5" spans="1:4">
      <c r="A5" s="1" t="s">
        <v>28</v>
      </c>
      <c r="B5" s="3">
        <f>'Dimensions and Readings'!H9</f>
        <v>63.546198559999986</v>
      </c>
      <c r="C5" s="3">
        <f>'Dimensions and Readings'!I9</f>
        <v>63.659552888888889</v>
      </c>
      <c r="D5" s="3">
        <f>'Dimensions and Readings'!J9</f>
        <v>63.828501760000002</v>
      </c>
    </row>
    <row r="6" spans="1:4">
      <c r="A6" s="1" t="s">
        <v>57</v>
      </c>
      <c r="B6" s="3">
        <f>'Dimensions and Readings'!H10</f>
        <v>33.445894859999996</v>
      </c>
      <c r="C6" s="3">
        <f>'Dimensions and Readings'!I10</f>
        <v>33.529813822222216</v>
      </c>
      <c r="D6" s="3">
        <f>'Dimensions and Readings'!J10</f>
        <v>33.608191960000006</v>
      </c>
    </row>
    <row r="7" spans="1:4">
      <c r="A7" s="1" t="s">
        <v>32</v>
      </c>
      <c r="B7" s="25">
        <f>B5/B3</f>
        <v>0.98007106442144265</v>
      </c>
      <c r="C7" s="25">
        <f>C5/C3</f>
        <v>0.97644693195353449</v>
      </c>
      <c r="D7" s="25">
        <f>D5/D3</f>
        <v>0.97519142419601845</v>
      </c>
    </row>
    <row r="8" spans="1:4">
      <c r="A8" s="1" t="s">
        <v>33</v>
      </c>
      <c r="B8" s="25">
        <f>B6/B3</f>
        <v>0.51583500695195417</v>
      </c>
      <c r="C8" s="25">
        <f>C6/C3</f>
        <v>0.51429961961602999</v>
      </c>
      <c r="D8" s="25">
        <f>D6/D3</f>
        <v>0.51347626339969388</v>
      </c>
    </row>
    <row r="9" spans="1:4">
      <c r="A9" s="1" t="s">
        <v>80</v>
      </c>
      <c r="B9" s="21">
        <f>'Re (2nd iteration)'!B6</f>
        <v>60823.100212204205</v>
      </c>
      <c r="C9" s="21">
        <f>'Re (2nd iteration)'!C6</f>
        <v>62428.88201874576</v>
      </c>
      <c r="D9" s="21">
        <f>'Re (2nd iteration)'!D6</f>
        <v>63617.318653288974</v>
      </c>
    </row>
    <row r="12" spans="1:4" ht="30">
      <c r="A12" s="32" t="s">
        <v>70</v>
      </c>
    </row>
    <row r="13" spans="1:4">
      <c r="A13" s="1" t="s">
        <v>36</v>
      </c>
      <c r="B13" s="25">
        <v>0.59589999999999999</v>
      </c>
      <c r="C13" s="25">
        <v>0.59589999999999999</v>
      </c>
      <c r="D13" s="25">
        <v>0.59589999999999999</v>
      </c>
    </row>
    <row r="14" spans="1:4">
      <c r="A14" s="1" t="s">
        <v>37</v>
      </c>
      <c r="B14" s="25">
        <f>0.0312*B4^2.1</f>
        <v>1.0547234091692918E-2</v>
      </c>
      <c r="C14" s="25">
        <f>0.0312*C4^2.1</f>
        <v>1.0508073738259939E-2</v>
      </c>
      <c r="D14" s="25">
        <f>0.0312*D4^2.1</f>
        <v>1.049608764863481E-2</v>
      </c>
    </row>
    <row r="15" spans="1:4">
      <c r="A15" s="1" t="s">
        <v>38</v>
      </c>
      <c r="B15" s="25">
        <f>-0.184*B4^8</f>
        <v>-2.9544124339032649E-3</v>
      </c>
      <c r="C15" s="25">
        <f>-0.184*C4^8</f>
        <v>-2.9128420667639383E-3</v>
      </c>
      <c r="D15" s="25">
        <f>-0.184*D4^8</f>
        <v>-2.9002050061303127E-3</v>
      </c>
    </row>
    <row r="16" spans="1:4">
      <c r="A16" s="1" t="s">
        <v>39</v>
      </c>
      <c r="B16" s="25">
        <f>0.0029*(B4^2.5)*(1000000/B9)^0.75</f>
        <v>6.5104834520465973E-3</v>
      </c>
      <c r="C16" s="25">
        <f>0.0029*(C4^2.5)*(1000000/C9)^0.75</f>
        <v>6.3562695072665399E-3</v>
      </c>
      <c r="D16" s="25">
        <f>0.0029*(D4^2.5)*(1000000/D9)^0.75</f>
        <v>6.2584945146605432E-3</v>
      </c>
    </row>
    <row r="17" spans="1:4">
      <c r="A17" s="1" t="s">
        <v>40</v>
      </c>
      <c r="B17" s="25">
        <f>0.039*B7*(B4^4)*(1-(B4^4))^(-1)</f>
        <v>5.546162926910991E-3</v>
      </c>
      <c r="C17" s="25">
        <f>0.039*C7*(C4^4)*(1-(C4^4))^(-1)</f>
        <v>5.4810268013731909E-3</v>
      </c>
      <c r="D17" s="25">
        <f>0.039*D7*(D4^4)*(1-(D4^4))^(-1)</f>
        <v>5.4603856463136414E-3</v>
      </c>
    </row>
    <row r="18" spans="1:4">
      <c r="A18" s="1" t="s">
        <v>41</v>
      </c>
      <c r="B18" s="25">
        <f>-0.0337*B8*(B4^3)</f>
        <v>-3.6919915654314767E-3</v>
      </c>
      <c r="C18" s="25">
        <f>-0.0337*C8*(C4^3)</f>
        <v>-3.6614935387349929E-3</v>
      </c>
      <c r="D18" s="25">
        <f>-0.0337*D8*(D4^3)</f>
        <v>-3.649676331274642E-3</v>
      </c>
    </row>
    <row r="19" spans="1:4">
      <c r="A19" s="1"/>
    </row>
    <row r="20" spans="1:4">
      <c r="A20" s="1" t="s">
        <v>143</v>
      </c>
      <c r="B20" s="25">
        <f>SUM(B13:B18)</f>
        <v>0.61185747647131583</v>
      </c>
      <c r="C20" s="13">
        <f>SUM(C13:C18)</f>
        <v>0.6116710344414007</v>
      </c>
      <c r="D20" s="25">
        <f>SUM(D13:D18)</f>
        <v>0.61156508647220409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RowHeight="15"/>
  <cols>
    <col min="1" max="1" width="12.5703125" style="1" bestFit="1" customWidth="1"/>
  </cols>
  <sheetData>
    <row r="1" spans="1:5">
      <c r="B1" s="25" t="s">
        <v>94</v>
      </c>
      <c r="C1" s="25" t="s">
        <v>96</v>
      </c>
      <c r="D1" s="25" t="s">
        <v>95</v>
      </c>
    </row>
    <row r="2" spans="1:5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5">
      <c r="A3" s="1" t="s">
        <v>78</v>
      </c>
      <c r="B3" s="25">
        <f>'Dimensions and Readings'!B15</f>
        <v>1.1013999999999999</v>
      </c>
      <c r="C3" s="25">
        <f>'Dimensions and Readings'!C15</f>
        <v>1.099</v>
      </c>
      <c r="D3" s="25">
        <f>'Dimensions and Readings'!D15</f>
        <v>1.0976999999999999</v>
      </c>
    </row>
    <row r="4" spans="1:5">
      <c r="A4" s="1" t="s">
        <v>46</v>
      </c>
      <c r="B4" s="21">
        <f>'Dimensions and Readings'!B11</f>
        <v>285</v>
      </c>
      <c r="C4" s="21">
        <f>'Dimensions and Readings'!C11</f>
        <v>300</v>
      </c>
      <c r="D4" s="21">
        <f>'Dimensions and Readings'!D11</f>
        <v>310</v>
      </c>
      <c r="E4" t="s">
        <v>45</v>
      </c>
    </row>
    <row r="5" spans="1:5">
      <c r="A5" s="1" t="s">
        <v>46</v>
      </c>
      <c r="B5" s="25">
        <f>B4*9.80638</f>
        <v>2794.8183000000004</v>
      </c>
      <c r="C5" s="25">
        <f>C4*9.80638</f>
        <v>2941.9140000000002</v>
      </c>
      <c r="D5" s="25">
        <f>D4*9.80638</f>
        <v>3039.9778000000001</v>
      </c>
      <c r="E5" t="s">
        <v>77</v>
      </c>
    </row>
    <row r="6" spans="1:5">
      <c r="B6" s="25"/>
      <c r="C6" s="25"/>
      <c r="D6" s="25"/>
    </row>
    <row r="7" spans="1:5">
      <c r="A7" s="1" t="s">
        <v>144</v>
      </c>
      <c r="B7" s="25">
        <f>'C (2nd iteration)'!B20*'Dimensions and Readings'!H15*'Dimensions and Readings'!H14*(PI()/4)*((B2/1000)^2)*(2*B5*B3)^0.5</f>
        <v>5.9667834956184468E-2</v>
      </c>
      <c r="C7" s="13">
        <f>'C (2nd iteration)'!C20*'Dimensions and Readings'!I15*'Dimensions and Readings'!I14*(PI()/4)*((C2/1000)^2)*(2*C5*C3)^0.5</f>
        <v>6.1689812220678576E-2</v>
      </c>
      <c r="D7" s="25">
        <f>'C (2nd iteration)'!D20*'Dimensions and Readings'!J15*'Dimensions and Readings'!J14*(PI()/4)*((D2/1000)^2)*(2*D5*D3)^0.5</f>
        <v>6.3229771907109766E-2</v>
      </c>
      <c r="E7" t="s">
        <v>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5"/>
  <cols>
    <col min="1" max="1" width="22.140625" style="1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144</v>
      </c>
      <c r="B2" s="25">
        <f>'Mass Flow Rate (2nd iteration)'!B7</f>
        <v>5.9667834956184468E-2</v>
      </c>
      <c r="C2" s="25">
        <f>'Mass Flow Rate (2nd iteration)'!C7</f>
        <v>6.1689812220678576E-2</v>
      </c>
      <c r="D2" s="25">
        <f>'Mass Flow Rate (2nd iteration)'!D7</f>
        <v>6.3229771907109766E-2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68</v>
      </c>
      <c r="B4" s="34">
        <f>'Dimensions and Readings'!B18</f>
        <v>1.9084273999999998E-5</v>
      </c>
      <c r="C4" s="34">
        <f>'Dimensions and Readings'!C18</f>
        <v>1.9122982E-5</v>
      </c>
      <c r="D4" s="34">
        <f>'Dimensions and Readings'!D18</f>
        <v>1.9161643000000001E-5</v>
      </c>
    </row>
    <row r="5" spans="1:4">
      <c r="B5" s="25"/>
      <c r="C5" s="25"/>
      <c r="D5" s="25"/>
    </row>
    <row r="6" spans="1:4">
      <c r="A6" s="1" t="s">
        <v>81</v>
      </c>
      <c r="B6" s="21">
        <f>(4*B2)/(PI()*(B3/1000)*B4)</f>
        <v>61396.377398977995</v>
      </c>
      <c r="C6" s="14">
        <f>(4*C2)/(PI()*(C3/1000)*C4)</f>
        <v>63001.807851771009</v>
      </c>
      <c r="D6" s="21">
        <f>(4*D2)/(PI()*(D3/1000)*D4)</f>
        <v>64191.010475266718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0" sqref="C20"/>
    </sheetView>
  </sheetViews>
  <sheetFormatPr defaultRowHeight="15"/>
  <cols>
    <col min="1" max="1" width="19.42578125" customWidth="1"/>
    <col min="2" max="4" width="12.7109375" style="25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31</v>
      </c>
      <c r="B4" s="25">
        <f>B2/B3</f>
        <v>0.59663216437509647</v>
      </c>
      <c r="C4" s="25">
        <f>C2/C3</f>
        <v>0.59557627531090318</v>
      </c>
      <c r="D4" s="25">
        <f>D2/D3</f>
        <v>0.5952526799387442</v>
      </c>
    </row>
    <row r="5" spans="1:4">
      <c r="A5" s="1" t="s">
        <v>28</v>
      </c>
      <c r="B5" s="3">
        <f>'Dimensions and Readings'!H9</f>
        <v>63.546198559999986</v>
      </c>
      <c r="C5" s="3">
        <f>'Dimensions and Readings'!I9</f>
        <v>63.659552888888889</v>
      </c>
      <c r="D5" s="3">
        <f>'Dimensions and Readings'!J9</f>
        <v>63.828501760000002</v>
      </c>
    </row>
    <row r="6" spans="1:4">
      <c r="A6" s="1" t="s">
        <v>57</v>
      </c>
      <c r="B6" s="3">
        <f>'Dimensions and Readings'!H10</f>
        <v>33.445894859999996</v>
      </c>
      <c r="C6" s="3">
        <f>'Dimensions and Readings'!I10</f>
        <v>33.529813822222216</v>
      </c>
      <c r="D6" s="3">
        <f>'Dimensions and Readings'!J10</f>
        <v>33.608191960000006</v>
      </c>
    </row>
    <row r="7" spans="1:4">
      <c r="A7" s="1" t="s">
        <v>32</v>
      </c>
      <c r="B7" s="25">
        <f>B5/B3</f>
        <v>0.98007106442144265</v>
      </c>
      <c r="C7" s="25">
        <f>C5/C3</f>
        <v>0.97644693195353449</v>
      </c>
      <c r="D7" s="25">
        <f>D5/D3</f>
        <v>0.97519142419601845</v>
      </c>
    </row>
    <row r="8" spans="1:4">
      <c r="A8" s="1" t="s">
        <v>33</v>
      </c>
      <c r="B8" s="25">
        <f>B6/B3</f>
        <v>0.51583500695195417</v>
      </c>
      <c r="C8" s="25">
        <f>C6/C3</f>
        <v>0.51429961961602999</v>
      </c>
      <c r="D8" s="25">
        <f>D6/D3</f>
        <v>0.51347626339969388</v>
      </c>
    </row>
    <row r="9" spans="1:4">
      <c r="A9" s="1" t="s">
        <v>81</v>
      </c>
      <c r="B9" s="21">
        <f>'Re (3rd iteration)'!B6</f>
        <v>61396.377398977995</v>
      </c>
      <c r="C9" s="21">
        <f>'Re (3rd iteration)'!C6</f>
        <v>63001.807851771009</v>
      </c>
      <c r="D9" s="21">
        <f>'Re (3rd iteration)'!D6</f>
        <v>64191.010475266718</v>
      </c>
    </row>
    <row r="12" spans="1:4" ht="30">
      <c r="A12" s="32" t="s">
        <v>70</v>
      </c>
    </row>
    <row r="13" spans="1:4">
      <c r="A13" s="1" t="s">
        <v>36</v>
      </c>
      <c r="B13" s="25">
        <v>0.59589999999999999</v>
      </c>
      <c r="C13" s="25">
        <v>0.59589999999999999</v>
      </c>
      <c r="D13" s="25">
        <v>0.59589999999999999</v>
      </c>
    </row>
    <row r="14" spans="1:4">
      <c r="A14" s="1" t="s">
        <v>37</v>
      </c>
      <c r="B14" s="25">
        <f>0.0312*B4^2.1</f>
        <v>1.0547234091692918E-2</v>
      </c>
      <c r="C14" s="25">
        <f>0.0312*C4^2.1</f>
        <v>1.0508073738259939E-2</v>
      </c>
      <c r="D14" s="25">
        <f>0.0312*D4^2.1</f>
        <v>1.049608764863481E-2</v>
      </c>
    </row>
    <row r="15" spans="1:4">
      <c r="A15" s="1" t="s">
        <v>38</v>
      </c>
      <c r="B15" s="25">
        <f>-0.184*B4^8</f>
        <v>-2.9544124339032649E-3</v>
      </c>
      <c r="C15" s="25">
        <f>-0.184*C4^8</f>
        <v>-2.9128420667639383E-3</v>
      </c>
      <c r="D15" s="25">
        <f>-0.184*D4^8</f>
        <v>-2.9002050061303127E-3</v>
      </c>
    </row>
    <row r="16" spans="1:4">
      <c r="A16" s="1" t="s">
        <v>39</v>
      </c>
      <c r="B16" s="25">
        <f>0.0029*(B4^2.5)*(1000000/B9)^0.75</f>
        <v>6.4648372137740525E-3</v>
      </c>
      <c r="C16" s="25">
        <f>0.0029*(C4^2.5)*(1000000/C9)^0.75</f>
        <v>6.3128680581133094E-3</v>
      </c>
      <c r="D16" s="25">
        <f>0.0029*(D4^2.5)*(1000000/D9)^0.75</f>
        <v>6.2164971243477904E-3</v>
      </c>
    </row>
    <row r="17" spans="1:4">
      <c r="A17" s="1" t="s">
        <v>40</v>
      </c>
      <c r="B17" s="25">
        <f>0.039*B7*(B4^4)*(1-(B4^4))^(-1)</f>
        <v>5.546162926910991E-3</v>
      </c>
      <c r="C17" s="25">
        <f>0.039*C7*(C4^4)*(1-(C4^4))^(-1)</f>
        <v>5.4810268013731909E-3</v>
      </c>
      <c r="D17" s="25">
        <f>0.039*D7*(D4^4)*(1-(D4^4))^(-1)</f>
        <v>5.4603856463136414E-3</v>
      </c>
    </row>
    <row r="18" spans="1:4">
      <c r="A18" s="1" t="s">
        <v>41</v>
      </c>
      <c r="B18" s="25">
        <f>-0.0337*B8*(B4^3)</f>
        <v>-3.6919915654314767E-3</v>
      </c>
      <c r="C18" s="25">
        <f>-0.0337*C8*(C4^3)</f>
        <v>-3.6614935387349929E-3</v>
      </c>
      <c r="D18" s="25">
        <f>-0.0337*D8*(D4^3)</f>
        <v>-3.649676331274642E-3</v>
      </c>
    </row>
    <row r="19" spans="1:4">
      <c r="A19" s="1"/>
    </row>
    <row r="20" spans="1:4">
      <c r="A20" s="1" t="s">
        <v>147</v>
      </c>
      <c r="B20" s="25">
        <f>SUM(B13:B18)</f>
        <v>0.6118118302330432</v>
      </c>
      <c r="C20" s="13">
        <f>SUM(C13:C18)</f>
        <v>0.61162763299224743</v>
      </c>
      <c r="D20" s="25">
        <f>SUM(D13:D18)</f>
        <v>0.61152308908189135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RowHeight="15"/>
  <cols>
    <col min="1" max="1" width="12.5703125" style="1" bestFit="1" customWidth="1"/>
  </cols>
  <sheetData>
    <row r="1" spans="1:5">
      <c r="B1" s="25" t="s">
        <v>94</v>
      </c>
      <c r="C1" s="25" t="s">
        <v>96</v>
      </c>
      <c r="D1" s="25" t="s">
        <v>95</v>
      </c>
    </row>
    <row r="2" spans="1:5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5">
      <c r="A3" s="1" t="s">
        <v>78</v>
      </c>
      <c r="B3" s="25">
        <f>'Dimensions and Readings'!B15</f>
        <v>1.1013999999999999</v>
      </c>
      <c r="C3" s="25">
        <f>'Dimensions and Readings'!C15</f>
        <v>1.099</v>
      </c>
      <c r="D3" s="25">
        <f>'Dimensions and Readings'!D15</f>
        <v>1.0976999999999999</v>
      </c>
    </row>
    <row r="4" spans="1:5">
      <c r="A4" s="1" t="s">
        <v>46</v>
      </c>
      <c r="B4" s="21">
        <f>'Dimensions and Readings'!B11</f>
        <v>285</v>
      </c>
      <c r="C4" s="21">
        <f>'Dimensions and Readings'!C11</f>
        <v>300</v>
      </c>
      <c r="D4" s="21">
        <f>'Dimensions and Readings'!D11</f>
        <v>310</v>
      </c>
      <c r="E4" t="s">
        <v>45</v>
      </c>
    </row>
    <row r="5" spans="1:5">
      <c r="A5" s="1" t="s">
        <v>46</v>
      </c>
      <c r="B5" s="25">
        <f>B4*9.80638</f>
        <v>2794.8183000000004</v>
      </c>
      <c r="C5" s="25">
        <f>C4*9.80638</f>
        <v>2941.9140000000002</v>
      </c>
      <c r="D5" s="25">
        <f>D4*9.80638</f>
        <v>3039.9778000000001</v>
      </c>
      <c r="E5" t="s">
        <v>77</v>
      </c>
    </row>
    <row r="6" spans="1:5">
      <c r="B6" s="25"/>
      <c r="C6" s="25"/>
      <c r="D6" s="25"/>
    </row>
    <row r="7" spans="1:5">
      <c r="A7" s="1" t="s">
        <v>145</v>
      </c>
      <c r="B7" s="25">
        <f>'C (3rd iteration)'!B20*'Dimensions and Readings'!H15*'Dimensions and Readings'!H14*(PI()/4)*((B2/1000)^2)*(2*B5*B3)^0.5</f>
        <v>5.9663383572788241E-2</v>
      </c>
      <c r="C7" s="13">
        <f>'C (3rd iteration)'!C20*'Dimensions and Readings'!I15*'Dimensions and Readings'!I14*(PI()/4)*((C2/1000)^2)*(2*C5*C3)^0.5</f>
        <v>6.1685434986679229E-2</v>
      </c>
      <c r="D7" s="25">
        <f>'C (3rd iteration)'!D20*'Dimensions and Readings'!J15*'Dimensions and Readings'!J14*(PI()/4)*((D2/1000)^2)*(2*D5*D3)^0.5</f>
        <v>6.322542979296869E-2</v>
      </c>
      <c r="E7" t="s">
        <v>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C6" sqref="C6"/>
    </sheetView>
  </sheetViews>
  <sheetFormatPr defaultRowHeight="15"/>
  <cols>
    <col min="1" max="1" width="22.140625" style="1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145</v>
      </c>
      <c r="B2" s="25">
        <f>'Mass Flow Rate (3rd iteration)'!B7</f>
        <v>5.9663383572788241E-2</v>
      </c>
      <c r="C2" s="25">
        <f>'Mass Flow Rate (3rd iteration)'!C7</f>
        <v>6.1685434986679229E-2</v>
      </c>
      <c r="D2" s="25">
        <f>'Mass Flow Rate (3rd iteration)'!D7</f>
        <v>6.322542979296869E-2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68</v>
      </c>
      <c r="B4" s="34">
        <f>'Dimensions and Readings'!B18</f>
        <v>1.9084273999999998E-5</v>
      </c>
      <c r="C4" s="34">
        <f>'Dimensions and Readings'!C18</f>
        <v>1.9122982E-5</v>
      </c>
      <c r="D4" s="34">
        <f>'Dimensions and Readings'!D18</f>
        <v>1.9161643000000001E-5</v>
      </c>
    </row>
    <row r="5" spans="1:4">
      <c r="B5" s="25"/>
      <c r="C5" s="25"/>
      <c r="D5" s="25"/>
    </row>
    <row r="6" spans="1:4">
      <c r="A6" s="1" t="s">
        <v>82</v>
      </c>
      <c r="B6" s="21">
        <f>(4*B2)/(PI()*(B3/1000)*B4)</f>
        <v>61391.797061596168</v>
      </c>
      <c r="C6" s="14">
        <f>(4*C2)/(PI()*(C3/1000)*C4)</f>
        <v>62997.337524411887</v>
      </c>
      <c r="D6" s="21">
        <f>(4*D2)/(PI()*(D3/1000)*D4)</f>
        <v>64186.602350962166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0" sqref="C20"/>
    </sheetView>
  </sheetViews>
  <sheetFormatPr defaultRowHeight="15"/>
  <cols>
    <col min="1" max="1" width="19.42578125" customWidth="1"/>
    <col min="2" max="4" width="12.7109375" style="25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31</v>
      </c>
      <c r="B4" s="25">
        <f>B2/B3</f>
        <v>0.59663216437509647</v>
      </c>
      <c r="C4" s="25">
        <f>C2/C3</f>
        <v>0.59557627531090318</v>
      </c>
      <c r="D4" s="25">
        <f>D2/D3</f>
        <v>0.5952526799387442</v>
      </c>
    </row>
    <row r="5" spans="1:4">
      <c r="A5" s="1" t="s">
        <v>28</v>
      </c>
      <c r="B5" s="3">
        <f>'Dimensions and Readings'!H9</f>
        <v>63.546198559999986</v>
      </c>
      <c r="C5" s="3">
        <f>'Dimensions and Readings'!I9</f>
        <v>63.659552888888889</v>
      </c>
      <c r="D5" s="3">
        <f>'Dimensions and Readings'!J9</f>
        <v>63.828501760000002</v>
      </c>
    </row>
    <row r="6" spans="1:4">
      <c r="A6" s="1" t="s">
        <v>57</v>
      </c>
      <c r="B6" s="3">
        <f>'Dimensions and Readings'!H10</f>
        <v>33.445894859999996</v>
      </c>
      <c r="C6" s="3">
        <f>'Dimensions and Readings'!I10</f>
        <v>33.529813822222216</v>
      </c>
      <c r="D6" s="3">
        <f>'Dimensions and Readings'!J10</f>
        <v>33.608191960000006</v>
      </c>
    </row>
    <row r="7" spans="1:4">
      <c r="A7" s="1" t="s">
        <v>32</v>
      </c>
      <c r="B7" s="25">
        <f>B5/B3</f>
        <v>0.98007106442144265</v>
      </c>
      <c r="C7" s="25">
        <f>C5/C3</f>
        <v>0.97644693195353449</v>
      </c>
      <c r="D7" s="25">
        <f>D5/D3</f>
        <v>0.97519142419601845</v>
      </c>
    </row>
    <row r="8" spans="1:4">
      <c r="A8" s="1" t="s">
        <v>33</v>
      </c>
      <c r="B8" s="25">
        <f>B6/B3</f>
        <v>0.51583500695195417</v>
      </c>
      <c r="C8" s="25">
        <f>C6/C3</f>
        <v>0.51429961961602999</v>
      </c>
      <c r="D8" s="25">
        <f>D6/D3</f>
        <v>0.51347626339969388</v>
      </c>
    </row>
    <row r="9" spans="1:4">
      <c r="A9" s="1" t="s">
        <v>82</v>
      </c>
      <c r="B9" s="21">
        <f>'Re (4th iteration)'!B6</f>
        <v>61391.797061596168</v>
      </c>
      <c r="C9" s="21">
        <f>'Re (4th iteration)'!C6</f>
        <v>62997.337524411887</v>
      </c>
      <c r="D9" s="21">
        <f>'Re (4th iteration)'!D6</f>
        <v>64186.602350962166</v>
      </c>
    </row>
    <row r="12" spans="1:4" ht="30">
      <c r="A12" s="32" t="s">
        <v>70</v>
      </c>
    </row>
    <row r="13" spans="1:4">
      <c r="A13" s="1" t="s">
        <v>36</v>
      </c>
      <c r="B13" s="25">
        <v>0.59589999999999999</v>
      </c>
      <c r="C13" s="25">
        <v>0.59589999999999999</v>
      </c>
      <c r="D13" s="25">
        <v>0.59589999999999999</v>
      </c>
    </row>
    <row r="14" spans="1:4">
      <c r="A14" s="1" t="s">
        <v>37</v>
      </c>
      <c r="B14" s="25">
        <f>0.0312*B4^2.1</f>
        <v>1.0547234091692918E-2</v>
      </c>
      <c r="C14" s="25">
        <f>0.0312*C4^2.1</f>
        <v>1.0508073738259939E-2</v>
      </c>
      <c r="D14" s="25">
        <f>0.0312*D4^2.1</f>
        <v>1.049608764863481E-2</v>
      </c>
    </row>
    <row r="15" spans="1:4">
      <c r="A15" s="1" t="s">
        <v>38</v>
      </c>
      <c r="B15" s="25">
        <f>-0.184*B4^8</f>
        <v>-2.9544124339032649E-3</v>
      </c>
      <c r="C15" s="25">
        <f>-0.184*C4^8</f>
        <v>-2.9128420667639383E-3</v>
      </c>
      <c r="D15" s="25">
        <f>-0.184*D4^8</f>
        <v>-2.9002050061303127E-3</v>
      </c>
    </row>
    <row r="16" spans="1:4">
      <c r="A16" s="1" t="s">
        <v>39</v>
      </c>
      <c r="B16" s="25">
        <f>0.0029*(B4^2.5)*(1000000/B9)^0.75</f>
        <v>6.4651989582679703E-3</v>
      </c>
      <c r="C16" s="25">
        <f>0.0029*(C4^2.5)*(1000000/C9)^0.75</f>
        <v>6.3132040286986435E-3</v>
      </c>
      <c r="D16" s="25">
        <f>0.0029*(D4^2.5)*(1000000/D9)^0.75</f>
        <v>6.2168173179998334E-3</v>
      </c>
    </row>
    <row r="17" spans="1:4">
      <c r="A17" s="1" t="s">
        <v>40</v>
      </c>
      <c r="B17" s="25">
        <f>0.039*B7*(B4^4)*(1-(B4^4))^(-1)</f>
        <v>5.546162926910991E-3</v>
      </c>
      <c r="C17" s="25">
        <f>0.039*C7*(C4^4)*(1-(C4^4))^(-1)</f>
        <v>5.4810268013731909E-3</v>
      </c>
      <c r="D17" s="25">
        <f>0.039*D7*(D4^4)*(1-(D4^4))^(-1)</f>
        <v>5.4603856463136414E-3</v>
      </c>
    </row>
    <row r="18" spans="1:4">
      <c r="A18" s="1" t="s">
        <v>41</v>
      </c>
      <c r="B18" s="25">
        <f>-0.0337*B8*(B4^3)</f>
        <v>-3.6919915654314767E-3</v>
      </c>
      <c r="C18" s="25">
        <f>-0.0337*C8*(C4^3)</f>
        <v>-3.6614935387349929E-3</v>
      </c>
      <c r="D18" s="25">
        <f>-0.0337*D8*(D4^3)</f>
        <v>-3.649676331274642E-3</v>
      </c>
    </row>
    <row r="19" spans="1:4">
      <c r="A19" s="1"/>
    </row>
    <row r="20" spans="1:4">
      <c r="A20" s="1" t="s">
        <v>146</v>
      </c>
      <c r="B20" s="25">
        <f>SUM(B13:B18)</f>
        <v>0.61181219197753711</v>
      </c>
      <c r="C20" s="13">
        <f>SUM(C13:C18)</f>
        <v>0.61162796896283278</v>
      </c>
      <c r="D20" s="25">
        <f>SUM(D13:D18)</f>
        <v>0.61152340927554338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RowHeight="15"/>
  <cols>
    <col min="1" max="1" width="12.5703125" style="1" bestFit="1" customWidth="1"/>
  </cols>
  <sheetData>
    <row r="1" spans="1:5">
      <c r="B1" s="25" t="s">
        <v>94</v>
      </c>
      <c r="C1" s="25" t="s">
        <v>96</v>
      </c>
      <c r="D1" s="25" t="s">
        <v>95</v>
      </c>
    </row>
    <row r="2" spans="1:5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5">
      <c r="A3" s="1" t="s">
        <v>78</v>
      </c>
      <c r="B3" s="25">
        <f>'Dimensions and Readings'!B15</f>
        <v>1.1013999999999999</v>
      </c>
      <c r="C3" s="25">
        <f>'Dimensions and Readings'!C15</f>
        <v>1.099</v>
      </c>
      <c r="D3" s="25">
        <f>'Dimensions and Readings'!D15</f>
        <v>1.0976999999999999</v>
      </c>
    </row>
    <row r="4" spans="1:5">
      <c r="A4" s="1" t="s">
        <v>46</v>
      </c>
      <c r="B4" s="21">
        <f>'Dimensions and Readings'!B11</f>
        <v>285</v>
      </c>
      <c r="C4" s="21">
        <f>'Dimensions and Readings'!C11</f>
        <v>300</v>
      </c>
      <c r="D4" s="21">
        <f>'Dimensions and Readings'!D11</f>
        <v>310</v>
      </c>
      <c r="E4" t="s">
        <v>45</v>
      </c>
    </row>
    <row r="5" spans="1:5">
      <c r="A5" s="1" t="s">
        <v>46</v>
      </c>
      <c r="B5" s="25">
        <f>B4*9.80638</f>
        <v>2794.8183000000004</v>
      </c>
      <c r="C5" s="25">
        <f>C4*9.80638</f>
        <v>2941.9140000000002</v>
      </c>
      <c r="D5" s="25">
        <f>D4*9.80638</f>
        <v>3039.9778000000001</v>
      </c>
      <c r="E5" t="s">
        <v>77</v>
      </c>
    </row>
    <row r="6" spans="1:5">
      <c r="B6" s="25"/>
      <c r="C6" s="25"/>
      <c r="D6" s="25"/>
    </row>
    <row r="7" spans="1:5">
      <c r="A7" s="1" t="s">
        <v>150</v>
      </c>
      <c r="B7" s="25">
        <f>'C (4th iteration)'!B20*'Dimensions and Readings'!H15*'Dimensions and Readings'!H14*(PI()/4)*((B2/1000)^2)*(2*B5*B3)^0.5</f>
        <v>5.9663418849812043E-2</v>
      </c>
      <c r="C7" s="13">
        <f>'C (4th iteration)'!C20*'Dimensions and Readings'!I15*'Dimensions and Readings'!I14*(PI()/4)*((C2/1000)^2)*(2*C5*C3)^0.5</f>
        <v>6.1685468870844334E-2</v>
      </c>
      <c r="D7" s="25">
        <f>'C (4th iteration)'!D20*'Dimensions and Readings'!J15*'Dimensions and Readings'!J14*(PI()/4)*((D2/1000)^2)*(2*D5*D3)^0.5</f>
        <v>6.3225462897820522E-2</v>
      </c>
      <c r="E7" t="s">
        <v>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4"/>
  <sheetViews>
    <sheetView workbookViewId="0"/>
  </sheetViews>
  <sheetFormatPr defaultRowHeight="15"/>
  <cols>
    <col min="1" max="1" width="23.85546875" style="1" bestFit="1" customWidth="1"/>
    <col min="5" max="5" width="8.5703125" bestFit="1" customWidth="1"/>
  </cols>
  <sheetData>
    <row r="1" spans="1:5">
      <c r="B1" s="25" t="s">
        <v>94</v>
      </c>
      <c r="C1" s="25" t="s">
        <v>96</v>
      </c>
      <c r="D1" s="25" t="s">
        <v>95</v>
      </c>
    </row>
    <row r="2" spans="1:5">
      <c r="A2" s="1" t="s">
        <v>78</v>
      </c>
      <c r="B2" s="25">
        <f>'Dimensions and Readings'!B16</f>
        <v>1.1976</v>
      </c>
      <c r="C2" s="25">
        <f>'Dimensions and Readings'!C16</f>
        <v>1.1967000000000001</v>
      </c>
      <c r="D2" s="25">
        <f>'Dimensions and Readings'!D16</f>
        <v>1.1953</v>
      </c>
      <c r="E2" t="s">
        <v>64</v>
      </c>
    </row>
    <row r="3" spans="1:5">
      <c r="A3" s="1" t="s">
        <v>88</v>
      </c>
      <c r="B3" s="21">
        <f>'Dimensions and Readings'!B10</f>
        <v>69.900000000000006</v>
      </c>
      <c r="C3" s="21">
        <f>'Dimensions and Readings'!C10</f>
        <v>70.100000000000009</v>
      </c>
      <c r="D3" s="21">
        <f>'Dimensions and Readings'!D10</f>
        <v>70.3</v>
      </c>
      <c r="E3" t="s">
        <v>45</v>
      </c>
    </row>
    <row r="4" spans="1:5">
      <c r="A4" s="1" t="s">
        <v>88</v>
      </c>
      <c r="B4" s="30">
        <f>B3/25.4</f>
        <v>2.7519685039370083</v>
      </c>
      <c r="C4" s="30">
        <f>C3/25.4</f>
        <v>2.7598425196850398</v>
      </c>
      <c r="D4" s="30">
        <f>D3/25.4</f>
        <v>2.7677165354330708</v>
      </c>
      <c r="E4" t="s">
        <v>89</v>
      </c>
    </row>
    <row r="5" spans="1:5">
      <c r="A5" s="1" t="s">
        <v>83</v>
      </c>
      <c r="B5" s="25">
        <f>'Mass Flow Rate (4th iteration)'!B7/B2</f>
        <v>4.9819154016209122E-2</v>
      </c>
      <c r="C5" s="25">
        <f>'Mass Flow Rate (4th iteration)'!C7/C2</f>
        <v>5.1546309744166734E-2</v>
      </c>
      <c r="D5" s="25">
        <f>'Mass Flow Rate (4th iteration)'!D7/D2</f>
        <v>5.2895058058914514E-2</v>
      </c>
      <c r="E5" t="s">
        <v>84</v>
      </c>
    </row>
    <row r="6" spans="1:5">
      <c r="A6" s="1" t="s">
        <v>83</v>
      </c>
      <c r="B6" s="25">
        <f>B5*2118.88</f>
        <v>105.56080906186519</v>
      </c>
      <c r="C6" s="25">
        <f>C5*2118.88</f>
        <v>109.22044479072001</v>
      </c>
      <c r="D6" s="25">
        <f>D5*2118.88</f>
        <v>112.07828061987279</v>
      </c>
      <c r="E6" t="s">
        <v>90</v>
      </c>
    </row>
    <row r="8" spans="1:5">
      <c r="A8" s="1" t="s">
        <v>85</v>
      </c>
      <c r="B8" s="20">
        <f>B6*(10/B4)^0.5</f>
        <v>201.22455730332234</v>
      </c>
      <c r="C8" s="20">
        <f>C6*(10/C4)^0.5</f>
        <v>207.90349498845333</v>
      </c>
      <c r="D8" s="20">
        <f>D6*(10/D4)^0.5</f>
        <v>213.03975582555685</v>
      </c>
      <c r="E8" s="7" t="s">
        <v>90</v>
      </c>
    </row>
    <row r="9" spans="1:5">
      <c r="A9" s="1" t="s">
        <v>86</v>
      </c>
      <c r="B9" s="20">
        <f>B6*(25/B4)^0.5</f>
        <v>318.16396111878402</v>
      </c>
      <c r="C9" s="20">
        <f>C6*(25/C4)^0.5</f>
        <v>328.72428883645728</v>
      </c>
      <c r="D9" s="20">
        <f>D6*(25/D4)^0.5</f>
        <v>336.84543028744235</v>
      </c>
      <c r="E9" s="7" t="s">
        <v>90</v>
      </c>
    </row>
    <row r="10" spans="1:5">
      <c r="A10" s="1" t="s">
        <v>87</v>
      </c>
      <c r="B10" s="20">
        <f>B6*(28/B4)^0.5</f>
        <v>336.71308690541053</v>
      </c>
      <c r="C10" s="20">
        <f>C6*(28/C4)^0.5</f>
        <v>347.88908726713282</v>
      </c>
      <c r="D10" s="20">
        <f>D6*(28/D4)^0.5</f>
        <v>356.48369552364676</v>
      </c>
      <c r="E10" s="7" t="s">
        <v>90</v>
      </c>
    </row>
    <row r="11" spans="1:5">
      <c r="B11" s="33"/>
      <c r="C11" s="33"/>
      <c r="D11" s="33"/>
    </row>
    <row r="12" spans="1:5">
      <c r="B12" s="33"/>
      <c r="C12" s="33"/>
      <c r="D12" s="33"/>
    </row>
    <row r="13" spans="1:5">
      <c r="B13" s="33"/>
      <c r="C13" s="33"/>
      <c r="D13" s="33"/>
    </row>
    <row r="14" spans="1:5">
      <c r="B14" s="33"/>
      <c r="C14" s="33"/>
      <c r="D14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4" sqref="B4:D6"/>
    </sheetView>
  </sheetViews>
  <sheetFormatPr defaultColWidth="0" defaultRowHeight="15" zeroHeight="1"/>
  <cols>
    <col min="1" max="1" width="9.140625" customWidth="1"/>
    <col min="2" max="2" width="35.7109375" bestFit="1" customWidth="1"/>
    <col min="3" max="3" width="11.85546875" bestFit="1" customWidth="1"/>
    <col min="4" max="4" width="10" bestFit="1" customWidth="1"/>
    <col min="5" max="5" width="5.85546875" style="52" bestFit="1" customWidth="1"/>
    <col min="6" max="6" width="6.140625" style="52" bestFit="1" customWidth="1"/>
    <col min="7" max="8" width="9.140625" customWidth="1"/>
    <col min="9" max="16384" width="9.140625" hidden="1"/>
  </cols>
  <sheetData>
    <row r="1" spans="1:8">
      <c r="A1" s="36"/>
      <c r="B1" s="36"/>
      <c r="C1" s="36"/>
      <c r="D1" s="36"/>
      <c r="E1" s="37"/>
      <c r="F1" s="37"/>
      <c r="G1" s="36"/>
      <c r="H1" s="36"/>
    </row>
    <row r="2" spans="1:8">
      <c r="A2" s="36"/>
      <c r="B2" s="36"/>
      <c r="C2" s="36"/>
      <c r="D2" s="36"/>
      <c r="E2" s="37"/>
      <c r="F2" s="37"/>
      <c r="G2" s="36"/>
      <c r="H2" s="36"/>
    </row>
    <row r="3" spans="1:8" ht="15.75" thickBot="1">
      <c r="A3" s="36"/>
      <c r="B3" s="36"/>
      <c r="C3" s="37"/>
      <c r="D3" s="37"/>
      <c r="E3" s="37" t="s">
        <v>148</v>
      </c>
      <c r="F3" s="37" t="s">
        <v>149</v>
      </c>
      <c r="G3" s="36"/>
      <c r="H3" s="36"/>
    </row>
    <row r="4" spans="1:8" ht="31.5">
      <c r="A4" s="36"/>
      <c r="B4" s="38" t="s">
        <v>85</v>
      </c>
      <c r="C4" s="39">
        <f>'Final Calculations Sheet'!C8</f>
        <v>207.90349498845333</v>
      </c>
      <c r="D4" s="40" t="s">
        <v>90</v>
      </c>
      <c r="E4" s="41">
        <f>'Final Calculations Sheet'!B8</f>
        <v>201.22455730332234</v>
      </c>
      <c r="F4" s="41">
        <f>'Final Calculations Sheet'!D8</f>
        <v>213.03975582555685</v>
      </c>
      <c r="G4" s="36"/>
      <c r="H4" s="36"/>
    </row>
    <row r="5" spans="1:8" ht="31.5">
      <c r="A5" s="36"/>
      <c r="B5" s="42" t="s">
        <v>86</v>
      </c>
      <c r="C5" s="43">
        <f>'Final Calculations Sheet'!C9</f>
        <v>328.72428883645728</v>
      </c>
      <c r="D5" s="44" t="s">
        <v>90</v>
      </c>
      <c r="E5" s="41">
        <f>'Final Calculations Sheet'!B9</f>
        <v>318.16396111878402</v>
      </c>
      <c r="F5" s="41">
        <f>'Final Calculations Sheet'!D9</f>
        <v>336.84543028744235</v>
      </c>
      <c r="G5" s="36"/>
      <c r="H5" s="36"/>
    </row>
    <row r="6" spans="1:8" ht="32.25" thickBot="1">
      <c r="A6" s="36"/>
      <c r="B6" s="45" t="s">
        <v>87</v>
      </c>
      <c r="C6" s="46">
        <f>'Final Calculations Sheet'!C10</f>
        <v>347.88908726713282</v>
      </c>
      <c r="D6" s="47" t="s">
        <v>90</v>
      </c>
      <c r="E6" s="41">
        <f>'Final Calculations Sheet'!B10</f>
        <v>336.71308690541053</v>
      </c>
      <c r="F6" s="41">
        <f>'Final Calculations Sheet'!D10</f>
        <v>356.48369552364676</v>
      </c>
      <c r="G6" s="36"/>
      <c r="H6" s="36"/>
    </row>
    <row r="7" spans="1:8">
      <c r="A7" s="36"/>
      <c r="B7" s="36"/>
      <c r="C7" s="36"/>
      <c r="D7" s="36"/>
      <c r="E7" s="37"/>
      <c r="F7" s="37"/>
      <c r="G7" s="36"/>
      <c r="H7" s="36"/>
    </row>
    <row r="8" spans="1:8">
      <c r="A8" s="36"/>
      <c r="B8" s="36"/>
      <c r="C8" s="36"/>
      <c r="D8" s="36"/>
      <c r="E8" s="37"/>
      <c r="F8" s="37"/>
      <c r="G8" s="36"/>
      <c r="H8" s="36"/>
    </row>
    <row r="9" spans="1:8">
      <c r="A9" s="36"/>
      <c r="B9" s="63" t="s">
        <v>183</v>
      </c>
      <c r="C9" s="64">
        <f>'Dimensions and Readings'!I11</f>
        <v>0.59557627531090318</v>
      </c>
      <c r="D9" s="37"/>
      <c r="E9" s="64">
        <f>'Dimensions and Readings'!H11</f>
        <v>0.59103594430040285</v>
      </c>
      <c r="F9" s="64">
        <f>'Dimensions and Readings'!J11</f>
        <v>0.60088882614797579</v>
      </c>
      <c r="G9" s="36"/>
      <c r="H9" s="36"/>
    </row>
    <row r="10" spans="1:8">
      <c r="A10" s="36"/>
      <c r="B10" s="36"/>
      <c r="C10" s="36"/>
      <c r="D10" s="36"/>
      <c r="E10" s="37"/>
      <c r="F10" s="37"/>
      <c r="G10" s="36"/>
      <c r="H10" s="36"/>
    </row>
    <row r="11" spans="1:8">
      <c r="A11" s="36"/>
      <c r="B11" s="36"/>
      <c r="C11" s="36"/>
      <c r="D11" s="36"/>
      <c r="E11" s="37"/>
      <c r="F11" s="37"/>
      <c r="G11" s="36"/>
      <c r="H11" s="36"/>
    </row>
    <row r="12" spans="1:8">
      <c r="A12" s="36"/>
      <c r="B12" s="36"/>
      <c r="C12" s="36"/>
      <c r="D12" s="36"/>
      <c r="E12" s="37"/>
      <c r="F12" s="37"/>
      <c r="G12" s="36"/>
      <c r="H12" s="36"/>
    </row>
    <row r="13" spans="1:8">
      <c r="A13" s="36"/>
      <c r="B13" s="36"/>
      <c r="C13" s="36"/>
      <c r="D13" s="36"/>
      <c r="E13" s="37"/>
      <c r="F13" s="37"/>
      <c r="G13" s="36"/>
      <c r="H13" s="36"/>
    </row>
  </sheetData>
  <sheetProtection sheet="1" objects="1" scenarios="1" selectLockedCell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B2" sqref="B2"/>
    </sheetView>
  </sheetViews>
  <sheetFormatPr defaultRowHeight="15"/>
  <cols>
    <col min="1" max="1" width="49.42578125" bestFit="1" customWidth="1"/>
    <col min="2" max="3" width="9.140625" style="2"/>
    <col min="4" max="4" width="9.7109375" style="2" customWidth="1"/>
    <col min="5" max="5" width="10.5703125" style="2" customWidth="1"/>
    <col min="6" max="6" width="10.42578125" customWidth="1"/>
  </cols>
  <sheetData>
    <row r="1" spans="1:13" ht="21">
      <c r="A1" s="6" t="s">
        <v>163</v>
      </c>
    </row>
    <row r="2" spans="1:13">
      <c r="A2" t="s">
        <v>91</v>
      </c>
      <c r="B2" s="48">
        <v>15.5</v>
      </c>
      <c r="C2" s="12" t="s">
        <v>27</v>
      </c>
      <c r="D2" s="7" t="s">
        <v>92</v>
      </c>
      <c r="E2" s="2">
        <f>B2-0.5</f>
        <v>15</v>
      </c>
      <c r="F2" t="s">
        <v>93</v>
      </c>
      <c r="G2" s="9">
        <f>B2+0.5</f>
        <v>16</v>
      </c>
    </row>
    <row r="3" spans="1:13" ht="21">
      <c r="A3" s="6"/>
    </row>
    <row r="4" spans="1:13">
      <c r="A4" t="s">
        <v>157</v>
      </c>
      <c r="B4" s="2">
        <v>1</v>
      </c>
      <c r="C4" s="2">
        <v>2</v>
      </c>
      <c r="D4" s="2">
        <v>3</v>
      </c>
    </row>
    <row r="5" spans="1:13">
      <c r="A5" s="1" t="s">
        <v>0</v>
      </c>
      <c r="B5" s="48">
        <v>65.150000000000006</v>
      </c>
      <c r="C5" s="48">
        <v>65.040000000000006</v>
      </c>
      <c r="D5" s="48">
        <v>65.23</v>
      </c>
      <c r="E5" s="3"/>
    </row>
    <row r="6" spans="1:13">
      <c r="A6" s="1" t="s">
        <v>1</v>
      </c>
      <c r="B6" s="48">
        <v>64.77</v>
      </c>
      <c r="C6" s="48">
        <v>65.14</v>
      </c>
      <c r="D6" s="48">
        <v>65.069999999999993</v>
      </c>
      <c r="E6" s="3"/>
    </row>
    <row r="7" spans="1:13">
      <c r="A7" s="1" t="s">
        <v>2</v>
      </c>
      <c r="B7" s="48">
        <v>64.73</v>
      </c>
      <c r="C7" s="48">
        <v>64.900000000000006</v>
      </c>
      <c r="D7" s="48">
        <v>65.150000000000006</v>
      </c>
      <c r="E7" s="3"/>
    </row>
    <row r="8" spans="1:13">
      <c r="A8" s="1" t="s">
        <v>3</v>
      </c>
      <c r="B8" s="48">
        <v>65.16</v>
      </c>
      <c r="C8" s="48">
        <v>65.150000000000006</v>
      </c>
      <c r="D8" s="48">
        <v>65.3</v>
      </c>
      <c r="E8" s="3"/>
    </row>
    <row r="9" spans="1:13">
      <c r="A9" s="5" t="s">
        <v>4</v>
      </c>
      <c r="B9" s="4">
        <f>AVERAGE(B5:D8)</f>
        <v>65.065833333333316</v>
      </c>
      <c r="C9" s="2" t="s">
        <v>7</v>
      </c>
    </row>
    <row r="10" spans="1:13">
      <c r="A10" s="5" t="s">
        <v>5</v>
      </c>
      <c r="B10" s="10">
        <f>MIN(B5:D8)</f>
        <v>64.73</v>
      </c>
      <c r="C10" s="8">
        <f>1-(B10/B9)</f>
        <v>5.1614390553154088E-3</v>
      </c>
      <c r="D10" s="70" t="s">
        <v>151</v>
      </c>
      <c r="E10" s="70"/>
      <c r="F10" s="70"/>
      <c r="G10" s="70"/>
      <c r="H10" s="70"/>
      <c r="I10" s="70"/>
      <c r="J10" s="70"/>
      <c r="K10" s="70"/>
      <c r="L10" s="70"/>
      <c r="M10" s="70"/>
    </row>
    <row r="11" spans="1:13">
      <c r="A11" s="5" t="s">
        <v>6</v>
      </c>
      <c r="B11" s="10">
        <f>MAX(B5:D8)</f>
        <v>65.3</v>
      </c>
      <c r="C11" s="8">
        <f>(B11/B10)-1</f>
        <v>8.805808744013488E-3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3" spans="1:13">
      <c r="A13" s="11" t="s">
        <v>160</v>
      </c>
      <c r="B13" s="2">
        <v>1</v>
      </c>
      <c r="C13" s="2">
        <v>2</v>
      </c>
      <c r="D13" s="2">
        <v>3</v>
      </c>
    </row>
    <row r="14" spans="1:13">
      <c r="A14" s="1" t="s">
        <v>0</v>
      </c>
      <c r="B14" s="48">
        <v>38.700000000000003</v>
      </c>
      <c r="C14" s="48">
        <v>38.619999999999997</v>
      </c>
      <c r="D14" s="48">
        <v>38.68</v>
      </c>
      <c r="E14" s="3"/>
    </row>
    <row r="15" spans="1:13">
      <c r="A15" s="1" t="s">
        <v>1</v>
      </c>
      <c r="B15" s="48">
        <v>38.700000000000003</v>
      </c>
      <c r="C15" s="48">
        <v>38.75</v>
      </c>
      <c r="D15" s="48">
        <v>38.74</v>
      </c>
      <c r="E15" s="3"/>
    </row>
    <row r="16" spans="1:13">
      <c r="A16" s="1" t="s">
        <v>2</v>
      </c>
      <c r="B16" s="48">
        <v>38.85</v>
      </c>
      <c r="C16" s="48">
        <v>38.869999999999997</v>
      </c>
      <c r="D16" s="48">
        <v>38.869999999999997</v>
      </c>
      <c r="E16" s="3"/>
    </row>
    <row r="17" spans="1:13">
      <c r="A17" s="1" t="s">
        <v>3</v>
      </c>
      <c r="B17" s="48">
        <v>38.74</v>
      </c>
      <c r="C17" s="48">
        <v>38.76</v>
      </c>
      <c r="D17" s="48">
        <v>38.74</v>
      </c>
      <c r="E17" s="3"/>
    </row>
    <row r="18" spans="1:13">
      <c r="A18" s="5" t="s">
        <v>18</v>
      </c>
      <c r="B18" s="4">
        <f>AVERAGE(B14:D17)</f>
        <v>38.751666666666672</v>
      </c>
      <c r="C18" s="2" t="s">
        <v>7</v>
      </c>
    </row>
    <row r="19" spans="1:13">
      <c r="A19" s="5" t="s">
        <v>19</v>
      </c>
      <c r="B19" s="10">
        <f>MIN(B14:D17)</f>
        <v>38.619999999999997</v>
      </c>
      <c r="C19" s="8">
        <f>1-(B19/B18)</f>
        <v>3.3977033245884414E-3</v>
      </c>
      <c r="D19" s="70" t="s">
        <v>152</v>
      </c>
      <c r="E19" s="70"/>
      <c r="F19" s="70"/>
      <c r="G19" s="70"/>
      <c r="H19" s="70"/>
      <c r="I19" s="70"/>
      <c r="J19" s="70"/>
      <c r="K19" s="70"/>
      <c r="L19" s="70"/>
      <c r="M19" s="70"/>
    </row>
    <row r="20" spans="1:13">
      <c r="A20" s="5" t="s">
        <v>20</v>
      </c>
      <c r="B20" s="10">
        <f>MAX(B14:D17)</f>
        <v>38.869999999999997</v>
      </c>
      <c r="C20" s="8">
        <f>(B20/B19)-1</f>
        <v>6.4733298808907769E-3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2" spans="1:13">
      <c r="A22" s="11" t="s">
        <v>158</v>
      </c>
      <c r="B22" s="2">
        <v>1</v>
      </c>
      <c r="C22" s="2">
        <v>2</v>
      </c>
      <c r="D22" s="2">
        <v>3</v>
      </c>
    </row>
    <row r="23" spans="1:13">
      <c r="A23" s="1" t="s">
        <v>8</v>
      </c>
      <c r="B23" s="48">
        <v>0.73</v>
      </c>
      <c r="C23" s="48">
        <v>0.77</v>
      </c>
      <c r="D23" s="48">
        <v>0.78</v>
      </c>
      <c r="E23" s="3"/>
    </row>
    <row r="24" spans="1:13">
      <c r="A24" s="1" t="s">
        <v>9</v>
      </c>
      <c r="B24" s="48">
        <v>0.76</v>
      </c>
      <c r="C24" s="48">
        <v>0.73</v>
      </c>
      <c r="D24" s="48">
        <v>0.8</v>
      </c>
      <c r="E24" s="3"/>
    </row>
    <row r="25" spans="1:13">
      <c r="A25" s="1" t="s">
        <v>21</v>
      </c>
      <c r="B25" s="48">
        <v>0.52</v>
      </c>
      <c r="C25" s="48">
        <v>0.57999999999999996</v>
      </c>
      <c r="D25" s="48">
        <v>0.55000000000000004</v>
      </c>
      <c r="E25" s="3"/>
    </row>
    <row r="26" spans="1:13">
      <c r="A26" s="1" t="s">
        <v>22</v>
      </c>
      <c r="B26" s="48">
        <v>0.85</v>
      </c>
      <c r="C26" s="48">
        <v>0.81</v>
      </c>
      <c r="D26" s="48">
        <v>0.66</v>
      </c>
      <c r="E26" s="3"/>
    </row>
    <row r="27" spans="1:13">
      <c r="A27" s="1" t="s">
        <v>10</v>
      </c>
      <c r="B27" s="48">
        <v>0.68</v>
      </c>
      <c r="C27" s="48">
        <v>0.76</v>
      </c>
      <c r="D27" s="48">
        <v>0.76</v>
      </c>
      <c r="E27" s="3"/>
    </row>
    <row r="28" spans="1:13">
      <c r="A28" s="1" t="s">
        <v>11</v>
      </c>
      <c r="B28" s="48">
        <v>0.65</v>
      </c>
      <c r="C28" s="48">
        <v>0.62</v>
      </c>
      <c r="D28" s="48">
        <v>0.63</v>
      </c>
      <c r="E28" s="3"/>
    </row>
    <row r="29" spans="1:13">
      <c r="A29" s="1" t="s">
        <v>12</v>
      </c>
      <c r="B29" s="48">
        <v>0.68</v>
      </c>
      <c r="C29" s="48">
        <v>0.57999999999999996</v>
      </c>
      <c r="D29" s="48">
        <v>0.69</v>
      </c>
      <c r="E29" s="3"/>
    </row>
    <row r="30" spans="1:13">
      <c r="A30" s="1" t="s">
        <v>13</v>
      </c>
      <c r="B30" s="48">
        <v>0.6</v>
      </c>
      <c r="C30" s="48">
        <v>0.66</v>
      </c>
      <c r="D30" s="48">
        <v>0.72</v>
      </c>
      <c r="E30" s="3"/>
    </row>
    <row r="31" spans="1:13">
      <c r="A31" s="5" t="s">
        <v>15</v>
      </c>
      <c r="B31" s="4">
        <f>AVERAGE(B23:D30)</f>
        <v>0.69041666666666657</v>
      </c>
      <c r="C31" s="2" t="s">
        <v>7</v>
      </c>
      <c r="D31" s="71" t="s">
        <v>14</v>
      </c>
      <c r="E31" s="71"/>
    </row>
    <row r="32" spans="1:13">
      <c r="A32" s="5" t="s">
        <v>16</v>
      </c>
      <c r="B32" s="10">
        <f>MIN(B23:D30)</f>
        <v>0.52</v>
      </c>
      <c r="C32" s="10">
        <f>B31-B32</f>
        <v>0.17041666666666655</v>
      </c>
      <c r="D32" s="72">
        <f>0.001*B9</f>
        <v>6.5065833333333323E-2</v>
      </c>
      <c r="E32" s="72"/>
      <c r="F32" s="73" t="s">
        <v>153</v>
      </c>
      <c r="G32" s="74"/>
      <c r="H32" s="74"/>
      <c r="I32" s="74"/>
      <c r="J32" s="74"/>
      <c r="K32" s="74"/>
      <c r="L32" s="74"/>
      <c r="M32" s="75"/>
    </row>
    <row r="33" spans="1:13">
      <c r="A33" s="5" t="s">
        <v>17</v>
      </c>
      <c r="B33" s="10">
        <f>MAX(B23:D30)</f>
        <v>0.85</v>
      </c>
      <c r="C33" s="10">
        <f>B33-B31</f>
        <v>0.15958333333333341</v>
      </c>
      <c r="D33" s="72"/>
      <c r="E33" s="72"/>
      <c r="F33" s="76"/>
      <c r="G33" s="77"/>
      <c r="H33" s="77"/>
      <c r="I33" s="77"/>
      <c r="J33" s="77"/>
      <c r="K33" s="77"/>
      <c r="L33" s="77"/>
      <c r="M33" s="78"/>
    </row>
    <row r="35" spans="1:13">
      <c r="A35" s="11" t="s">
        <v>159</v>
      </c>
      <c r="B35" s="2">
        <v>1</v>
      </c>
      <c r="C35" s="2">
        <v>2</v>
      </c>
      <c r="D35" s="2">
        <v>3</v>
      </c>
    </row>
    <row r="36" spans="1:13">
      <c r="A36" s="1" t="s">
        <v>8</v>
      </c>
      <c r="B36" s="48">
        <v>3.18</v>
      </c>
      <c r="C36" s="48">
        <v>3.13</v>
      </c>
      <c r="D36" s="48">
        <v>3.18</v>
      </c>
      <c r="E36" s="3"/>
    </row>
    <row r="37" spans="1:13">
      <c r="A37" s="1" t="s">
        <v>9</v>
      </c>
      <c r="B37" s="48">
        <v>2.96</v>
      </c>
      <c r="C37" s="48">
        <v>3</v>
      </c>
      <c r="D37" s="48">
        <v>3.03</v>
      </c>
      <c r="E37" s="3"/>
    </row>
    <row r="38" spans="1:13">
      <c r="A38" s="1" t="s">
        <v>21</v>
      </c>
      <c r="B38" s="48">
        <v>2.96</v>
      </c>
      <c r="C38" s="48">
        <v>2.91</v>
      </c>
      <c r="D38" s="48">
        <v>2.93</v>
      </c>
      <c r="E38" s="3"/>
    </row>
    <row r="39" spans="1:13">
      <c r="A39" s="1" t="s">
        <v>22</v>
      </c>
      <c r="B39" s="48">
        <v>3.23</v>
      </c>
      <c r="C39" s="48">
        <v>3.15</v>
      </c>
      <c r="D39" s="48">
        <v>3.08</v>
      </c>
      <c r="E39" s="3"/>
    </row>
    <row r="40" spans="1:13">
      <c r="A40" s="1" t="s">
        <v>10</v>
      </c>
      <c r="B40" s="48">
        <v>3.25</v>
      </c>
      <c r="C40" s="48">
        <v>3.25</v>
      </c>
      <c r="D40" s="48">
        <v>3.22</v>
      </c>
      <c r="E40" s="3"/>
    </row>
    <row r="41" spans="1:13">
      <c r="A41" s="1" t="s">
        <v>11</v>
      </c>
      <c r="B41" s="48">
        <v>2.95</v>
      </c>
      <c r="C41" s="48">
        <v>2.97</v>
      </c>
      <c r="D41" s="48">
        <v>2.95</v>
      </c>
      <c r="E41" s="3"/>
    </row>
    <row r="42" spans="1:13">
      <c r="A42" s="1" t="s">
        <v>12</v>
      </c>
      <c r="B42" s="48">
        <v>3.01</v>
      </c>
      <c r="C42" s="48">
        <v>3.03</v>
      </c>
      <c r="D42" s="48">
        <v>3.03</v>
      </c>
      <c r="E42" s="3"/>
    </row>
    <row r="43" spans="1:13">
      <c r="A43" s="1" t="s">
        <v>13</v>
      </c>
      <c r="B43" s="48">
        <v>3.1</v>
      </c>
      <c r="C43" s="48">
        <v>3.09</v>
      </c>
      <c r="D43" s="48">
        <v>3.08</v>
      </c>
      <c r="E43" s="3"/>
    </row>
    <row r="44" spans="1:13">
      <c r="A44" s="5" t="s">
        <v>23</v>
      </c>
      <c r="B44" s="4">
        <f>AVERAGE(B36:D43)</f>
        <v>3.0695833333333336</v>
      </c>
      <c r="C44" s="2" t="s">
        <v>26</v>
      </c>
      <c r="D44"/>
      <c r="E44"/>
    </row>
    <row r="45" spans="1:13" ht="15" customHeight="1">
      <c r="A45" s="5" t="s">
        <v>24</v>
      </c>
      <c r="B45" s="10">
        <f>MIN(B36:D43)</f>
        <v>2.91</v>
      </c>
      <c r="C45" s="10">
        <f>B31</f>
        <v>0.69041666666666657</v>
      </c>
      <c r="D45" s="69" t="s">
        <v>154</v>
      </c>
      <c r="E45" s="69"/>
      <c r="F45" s="69"/>
      <c r="G45" s="69"/>
      <c r="H45" s="69"/>
      <c r="I45" s="69"/>
      <c r="J45" s="69"/>
      <c r="K45" s="69"/>
      <c r="L45" s="69"/>
      <c r="M45" s="69"/>
    </row>
    <row r="46" spans="1:13">
      <c r="A46" s="5" t="s">
        <v>25</v>
      </c>
      <c r="B46" s="10">
        <f>MAX(B36:D43)</f>
        <v>3.25</v>
      </c>
      <c r="C46" s="10">
        <f>MAX(0.05*B9,3.2)</f>
        <v>3.2532916666666658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8" spans="1:13">
      <c r="A48" s="11" t="s">
        <v>161</v>
      </c>
      <c r="B48" s="2">
        <v>1</v>
      </c>
      <c r="C48" s="2">
        <v>2</v>
      </c>
      <c r="D48" s="2">
        <v>3</v>
      </c>
    </row>
    <row r="49" spans="1:13">
      <c r="A49" s="1" t="s">
        <v>8</v>
      </c>
      <c r="B49" s="48">
        <v>63.48</v>
      </c>
      <c r="C49" s="48">
        <v>63.68</v>
      </c>
      <c r="D49" s="48">
        <v>63.44</v>
      </c>
      <c r="E49" s="3"/>
    </row>
    <row r="50" spans="1:13">
      <c r="A50" s="5" t="s">
        <v>28</v>
      </c>
      <c r="B50" s="4">
        <f>AVERAGE(B49:D49)</f>
        <v>63.533333333333331</v>
      </c>
      <c r="C50" s="2" t="s">
        <v>26</v>
      </c>
      <c r="D50"/>
      <c r="E50"/>
    </row>
    <row r="51" spans="1:13" ht="15" customHeight="1">
      <c r="A51" s="5" t="s">
        <v>29</v>
      </c>
      <c r="B51" s="10">
        <f>MIN(B49:D49)</f>
        <v>63.44</v>
      </c>
      <c r="C51" s="10">
        <f>0.9*B9</f>
        <v>58.559249999999984</v>
      </c>
      <c r="D51" s="69" t="s">
        <v>155</v>
      </c>
      <c r="E51" s="69"/>
      <c r="F51" s="69"/>
      <c r="G51" s="69"/>
      <c r="H51" s="69"/>
      <c r="I51" s="69"/>
      <c r="J51" s="69"/>
      <c r="K51" s="69"/>
      <c r="L51" s="69"/>
      <c r="M51" s="69"/>
    </row>
    <row r="52" spans="1:13">
      <c r="A52" s="5" t="s">
        <v>30</v>
      </c>
      <c r="B52" s="10">
        <f>MAX(B49:D49)</f>
        <v>63.68</v>
      </c>
      <c r="C52" s="10">
        <f>1.1*B9</f>
        <v>71.572416666666655</v>
      </c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4" spans="1:13">
      <c r="A54" s="11" t="s">
        <v>162</v>
      </c>
      <c r="B54" s="2">
        <v>1</v>
      </c>
      <c r="C54" s="2">
        <v>2</v>
      </c>
      <c r="D54" s="2">
        <v>3</v>
      </c>
    </row>
    <row r="55" spans="1:13">
      <c r="A55" s="1" t="s">
        <v>8</v>
      </c>
      <c r="B55" s="48">
        <v>33.39</v>
      </c>
      <c r="C55" s="48">
        <v>33.47</v>
      </c>
      <c r="D55" s="48">
        <v>33.53</v>
      </c>
      <c r="E55" s="3"/>
    </row>
    <row r="56" spans="1:13">
      <c r="A56" s="5" t="s">
        <v>57</v>
      </c>
      <c r="B56" s="4">
        <f>AVERAGE(B55:D55)</f>
        <v>33.463333333333331</v>
      </c>
      <c r="C56" s="2" t="s">
        <v>26</v>
      </c>
      <c r="D56"/>
      <c r="E56"/>
    </row>
    <row r="57" spans="1:13" ht="15" customHeight="1">
      <c r="A57" s="5" t="s">
        <v>174</v>
      </c>
      <c r="B57" s="10">
        <f>MIN(B55:D55)</f>
        <v>33.39</v>
      </c>
      <c r="C57" s="10">
        <f>0.48*B9</f>
        <v>31.23159999999999</v>
      </c>
      <c r="D57" s="69" t="s">
        <v>176</v>
      </c>
      <c r="E57" s="69"/>
      <c r="F57" s="69"/>
      <c r="G57" s="69"/>
      <c r="H57" s="69"/>
      <c r="I57" s="69"/>
      <c r="J57" s="69"/>
      <c r="K57" s="69"/>
      <c r="L57" s="69"/>
      <c r="M57" s="69"/>
    </row>
    <row r="58" spans="1:13">
      <c r="A58" s="5" t="s">
        <v>175</v>
      </c>
      <c r="B58" s="10">
        <f>MAX(B55:D55)</f>
        <v>33.53</v>
      </c>
      <c r="C58" s="10">
        <f>0.52*B9</f>
        <v>33.834233333333323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</row>
  </sheetData>
  <sheetProtection sheet="1" objects="1" scenarios="1" selectLockedCells="1"/>
  <mergeCells count="8">
    <mergeCell ref="D45:M46"/>
    <mergeCell ref="D51:M52"/>
    <mergeCell ref="D57:M58"/>
    <mergeCell ref="D10:M11"/>
    <mergeCell ref="D19:M20"/>
    <mergeCell ref="D31:E31"/>
    <mergeCell ref="D32:E33"/>
    <mergeCell ref="F32:M33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B2" sqref="B2"/>
    </sheetView>
  </sheetViews>
  <sheetFormatPr defaultRowHeight="15"/>
  <cols>
    <col min="1" max="1" width="57.140625" bestFit="1" customWidth="1"/>
    <col min="2" max="2" width="9.5703125" style="2" bestFit="1" customWidth="1"/>
    <col min="3" max="4" width="9.140625" style="2"/>
    <col min="5" max="5" width="10.5703125" style="2" customWidth="1"/>
  </cols>
  <sheetData>
    <row r="1" spans="1:5" ht="21">
      <c r="A1" s="6" t="s">
        <v>163</v>
      </c>
    </row>
    <row r="2" spans="1:5">
      <c r="A2" s="11" t="s">
        <v>65</v>
      </c>
      <c r="B2" s="49">
        <v>69.900000000000006</v>
      </c>
      <c r="C2" s="12" t="s">
        <v>45</v>
      </c>
      <c r="D2"/>
      <c r="E2"/>
    </row>
    <row r="3" spans="1:5">
      <c r="A3" s="1"/>
      <c r="B3" s="49">
        <v>70.099999999999994</v>
      </c>
      <c r="C3" s="12" t="s">
        <v>45</v>
      </c>
      <c r="D3"/>
      <c r="E3"/>
    </row>
    <row r="4" spans="1:5">
      <c r="A4" s="1"/>
      <c r="B4" s="49">
        <v>70.3</v>
      </c>
      <c r="C4" s="12" t="s">
        <v>45</v>
      </c>
      <c r="D4"/>
      <c r="E4"/>
    </row>
    <row r="5" spans="1:5">
      <c r="A5" s="5" t="s">
        <v>71</v>
      </c>
      <c r="B5" s="14">
        <f>AVERAGE(B2:B4)</f>
        <v>70.100000000000009</v>
      </c>
      <c r="C5" s="12" t="s">
        <v>45</v>
      </c>
    </row>
    <row r="6" spans="1:5">
      <c r="A6" s="5" t="s">
        <v>72</v>
      </c>
      <c r="B6" s="15">
        <f>MIN(B2:B4)</f>
        <v>69.900000000000006</v>
      </c>
      <c r="C6" s="12" t="s">
        <v>45</v>
      </c>
    </row>
    <row r="7" spans="1:5">
      <c r="A7" s="5" t="s">
        <v>73</v>
      </c>
      <c r="B7" s="15">
        <f>MAX(B2:B4)</f>
        <v>70.3</v>
      </c>
      <c r="C7" s="12" t="s">
        <v>45</v>
      </c>
    </row>
    <row r="8" spans="1:5">
      <c r="A8" s="5"/>
      <c r="B8" s="22"/>
      <c r="C8" s="12"/>
    </row>
    <row r="9" spans="1:5">
      <c r="C9" s="12"/>
    </row>
    <row r="10" spans="1:5">
      <c r="A10" s="11" t="s">
        <v>165</v>
      </c>
      <c r="B10" s="48">
        <v>285</v>
      </c>
      <c r="C10" s="12" t="s">
        <v>45</v>
      </c>
      <c r="D10"/>
      <c r="E10"/>
    </row>
    <row r="11" spans="1:5">
      <c r="A11" s="1"/>
      <c r="B11" s="48">
        <v>305</v>
      </c>
      <c r="C11" s="12" t="s">
        <v>45</v>
      </c>
      <c r="D11"/>
      <c r="E11"/>
    </row>
    <row r="12" spans="1:5">
      <c r="A12" s="1"/>
      <c r="B12" s="48">
        <v>310</v>
      </c>
      <c r="C12" s="12" t="s">
        <v>45</v>
      </c>
      <c r="D12"/>
      <c r="E12"/>
    </row>
    <row r="13" spans="1:5">
      <c r="A13" s="5" t="s">
        <v>46</v>
      </c>
      <c r="B13" s="14">
        <f>AVERAGE(B10:B12)</f>
        <v>300</v>
      </c>
      <c r="C13" s="12" t="s">
        <v>45</v>
      </c>
    </row>
    <row r="14" spans="1:5">
      <c r="A14" s="5" t="s">
        <v>47</v>
      </c>
      <c r="B14" s="15">
        <f>MIN(B10:B12)</f>
        <v>285</v>
      </c>
      <c r="C14" s="12" t="s">
        <v>45</v>
      </c>
    </row>
    <row r="15" spans="1:5">
      <c r="A15" s="5" t="s">
        <v>48</v>
      </c>
      <c r="B15" s="15">
        <f>MAX(B10:B12)</f>
        <v>310</v>
      </c>
      <c r="C15" s="12" t="s">
        <v>45</v>
      </c>
    </row>
    <row r="16" spans="1:5">
      <c r="C16" s="12"/>
    </row>
    <row r="17" spans="1:5">
      <c r="C17" s="12"/>
      <c r="D17"/>
      <c r="E17"/>
    </row>
    <row r="18" spans="1:5">
      <c r="A18" t="s">
        <v>42</v>
      </c>
      <c r="B18" s="48">
        <v>1013.5</v>
      </c>
      <c r="C18" s="17" t="s">
        <v>109</v>
      </c>
      <c r="D18"/>
      <c r="E18"/>
    </row>
    <row r="19" spans="1:5">
      <c r="A19" s="1"/>
      <c r="B19" s="48">
        <v>1013.7</v>
      </c>
      <c r="C19" s="17" t="s">
        <v>109</v>
      </c>
      <c r="D19"/>
      <c r="E19"/>
    </row>
    <row r="20" spans="1:5">
      <c r="A20" s="1"/>
      <c r="B20" s="48">
        <v>1013.9</v>
      </c>
      <c r="C20" s="17" t="s">
        <v>109</v>
      </c>
      <c r="D20"/>
      <c r="E20"/>
    </row>
    <row r="21" spans="1:5">
      <c r="A21" s="5" t="s">
        <v>104</v>
      </c>
      <c r="B21" s="18">
        <f>AVERAGE(B18:B20)</f>
        <v>1013.6999999999999</v>
      </c>
      <c r="C21" s="17" t="s">
        <v>109</v>
      </c>
      <c r="D21" s="9"/>
      <c r="E21" s="9"/>
    </row>
    <row r="22" spans="1:5">
      <c r="A22" s="5" t="s">
        <v>105</v>
      </c>
      <c r="B22" s="26">
        <f>MIN(B18:B20)</f>
        <v>1013.5</v>
      </c>
      <c r="C22" s="17" t="s">
        <v>109</v>
      </c>
      <c r="D22" s="9"/>
      <c r="E22" s="9"/>
    </row>
    <row r="23" spans="1:5">
      <c r="A23" s="5" t="s">
        <v>106</v>
      </c>
      <c r="B23" s="26">
        <f>MAX(B18:B20)</f>
        <v>1013.9</v>
      </c>
      <c r="C23" s="17" t="s">
        <v>109</v>
      </c>
      <c r="D23" s="9"/>
      <c r="E23" s="9"/>
    </row>
    <row r="24" spans="1:5">
      <c r="B24" s="35"/>
      <c r="C24" s="12"/>
      <c r="D24" s="35"/>
      <c r="E24" s="35"/>
    </row>
    <row r="25" spans="1:5">
      <c r="B25" s="35"/>
      <c r="C25" s="12"/>
      <c r="D25"/>
      <c r="E25"/>
    </row>
    <row r="26" spans="1:5">
      <c r="A26" t="s">
        <v>166</v>
      </c>
      <c r="B26" s="48">
        <v>110</v>
      </c>
      <c r="C26" s="17" t="s">
        <v>45</v>
      </c>
      <c r="D26"/>
      <c r="E26"/>
    </row>
    <row r="27" spans="1:5">
      <c r="A27" s="1"/>
      <c r="B27" s="48">
        <v>100</v>
      </c>
      <c r="C27" s="17" t="s">
        <v>45</v>
      </c>
      <c r="D27"/>
      <c r="E27"/>
    </row>
    <row r="28" spans="1:5">
      <c r="A28" s="1"/>
      <c r="B28" s="48">
        <v>120</v>
      </c>
      <c r="C28" s="17" t="s">
        <v>45</v>
      </c>
      <c r="D28"/>
      <c r="E28"/>
    </row>
    <row r="29" spans="1:5">
      <c r="A29" s="5" t="s">
        <v>168</v>
      </c>
      <c r="B29" s="14">
        <f>(B21*10.197162129779)-(AVERAGE(B26:B28))</f>
        <v>10226.863250956972</v>
      </c>
      <c r="C29" s="17" t="s">
        <v>45</v>
      </c>
      <c r="D29" s="35"/>
      <c r="E29" s="35"/>
    </row>
    <row r="30" spans="1:5">
      <c r="A30" s="5" t="s">
        <v>169</v>
      </c>
      <c r="B30" s="23">
        <f>(B22*10.197162129779)-(MAX(B26:B28))</f>
        <v>10214.823818531017</v>
      </c>
      <c r="C30" s="17" t="s">
        <v>45</v>
      </c>
      <c r="D30" s="35"/>
      <c r="E30" s="35"/>
    </row>
    <row r="31" spans="1:5">
      <c r="A31" s="5" t="s">
        <v>170</v>
      </c>
      <c r="B31" s="23">
        <f>(B23*10.197162129779)-(MIN(B26:B28))</f>
        <v>10238.902683382928</v>
      </c>
      <c r="C31" s="17" t="s">
        <v>45</v>
      </c>
      <c r="D31" s="35"/>
      <c r="E31" s="35"/>
    </row>
    <row r="32" spans="1:5">
      <c r="A32" s="1"/>
      <c r="B32"/>
      <c r="C32" s="17"/>
      <c r="E32"/>
    </row>
    <row r="33" spans="1:13">
      <c r="A33" s="5" t="s">
        <v>167</v>
      </c>
      <c r="B33" s="14">
        <f>(AVERAGE(B18:B20)*10.197162129779)+B13</f>
        <v>10636.863250956972</v>
      </c>
      <c r="C33" s="12" t="s">
        <v>45</v>
      </c>
      <c r="D33"/>
      <c r="E33"/>
    </row>
    <row r="34" spans="1:13">
      <c r="A34" s="5" t="s">
        <v>43</v>
      </c>
      <c r="B34" s="23">
        <f>(MIN(B18:B20)*10.197162129779)+B15</f>
        <v>10644.823818531017</v>
      </c>
      <c r="C34" s="12" t="s">
        <v>45</v>
      </c>
      <c r="D34"/>
      <c r="E34"/>
    </row>
    <row r="35" spans="1:13">
      <c r="A35" s="5" t="s">
        <v>44</v>
      </c>
      <c r="B35" s="23">
        <f>(MAX(B18:B20)*10.197162129779)+B14</f>
        <v>10623.902683382928</v>
      </c>
      <c r="C35" s="12" t="s">
        <v>45</v>
      </c>
      <c r="D35"/>
      <c r="E35"/>
    </row>
    <row r="36" spans="1:13">
      <c r="C36" s="3"/>
      <c r="D36"/>
      <c r="E36"/>
    </row>
    <row r="37" spans="1:13">
      <c r="A37" s="11" t="s">
        <v>173</v>
      </c>
      <c r="B37" s="35"/>
      <c r="C37" s="3"/>
      <c r="D37"/>
      <c r="E37"/>
    </row>
    <row r="38" spans="1:13" ht="15" customHeight="1">
      <c r="A38" s="5" t="s">
        <v>171</v>
      </c>
      <c r="B38" s="16">
        <f>B29/B33</f>
        <v>0.96145480201006506</v>
      </c>
      <c r="C38" s="69" t="s">
        <v>156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>
      <c r="A39" s="5" t="s">
        <v>49</v>
      </c>
      <c r="B39" s="2">
        <f>B30/B34</f>
        <v>0.95960478000101468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1:13">
      <c r="A40" s="5" t="s">
        <v>50</v>
      </c>
      <c r="B40" s="2">
        <f>B31/B35</f>
        <v>0.96376096322849547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:13">
      <c r="C41" s="3"/>
      <c r="D41"/>
      <c r="E41"/>
    </row>
    <row r="42" spans="1:13">
      <c r="C42" s="3"/>
      <c r="D42"/>
      <c r="E42"/>
    </row>
    <row r="43" spans="1:13">
      <c r="A43" t="s">
        <v>55</v>
      </c>
      <c r="B43" s="48">
        <v>20.5</v>
      </c>
      <c r="C43" s="17" t="s">
        <v>27</v>
      </c>
      <c r="D43"/>
      <c r="E43"/>
    </row>
    <row r="44" spans="1:13">
      <c r="A44" s="1"/>
      <c r="B44" s="48">
        <v>20.399999999999999</v>
      </c>
      <c r="C44" s="17" t="s">
        <v>27</v>
      </c>
      <c r="D44"/>
      <c r="E44"/>
    </row>
    <row r="45" spans="1:13">
      <c r="A45" s="1"/>
      <c r="B45" s="48">
        <v>20.9</v>
      </c>
      <c r="C45" s="17" t="s">
        <v>27</v>
      </c>
      <c r="D45"/>
      <c r="E45"/>
    </row>
    <row r="46" spans="1:13">
      <c r="A46" s="5" t="s">
        <v>136</v>
      </c>
      <c r="B46" s="18">
        <f>AVERAGE(B43:B45)</f>
        <v>20.599999999999998</v>
      </c>
      <c r="C46" s="17" t="s">
        <v>27</v>
      </c>
      <c r="D46"/>
      <c r="E46"/>
    </row>
    <row r="47" spans="1:13">
      <c r="A47" s="5" t="s">
        <v>137</v>
      </c>
      <c r="B47" s="19">
        <f>MIN(B43:B45)</f>
        <v>20.399999999999999</v>
      </c>
      <c r="C47" s="17" t="s">
        <v>27</v>
      </c>
      <c r="D47"/>
      <c r="E47"/>
    </row>
    <row r="48" spans="1:13">
      <c r="A48" s="5" t="s">
        <v>138</v>
      </c>
      <c r="B48" s="19">
        <f>MAX(B43:B45)</f>
        <v>20.9</v>
      </c>
      <c r="C48" s="17" t="s">
        <v>27</v>
      </c>
      <c r="D48"/>
      <c r="E48"/>
    </row>
    <row r="49" spans="1:5">
      <c r="C49" s="3"/>
      <c r="D49"/>
      <c r="E49"/>
    </row>
    <row r="50" spans="1:5">
      <c r="C50" s="3"/>
      <c r="D50"/>
      <c r="E50"/>
    </row>
    <row r="51" spans="1:5">
      <c r="A51" t="s">
        <v>56</v>
      </c>
      <c r="B51" s="48">
        <v>35.299999999999997</v>
      </c>
      <c r="C51" s="17" t="s">
        <v>27</v>
      </c>
      <c r="D51"/>
      <c r="E51"/>
    </row>
    <row r="52" spans="1:5">
      <c r="A52" s="7" t="s">
        <v>164</v>
      </c>
      <c r="B52" s="48">
        <v>34.6</v>
      </c>
      <c r="C52" s="17" t="s">
        <v>27</v>
      </c>
      <c r="D52"/>
      <c r="E52"/>
    </row>
    <row r="53" spans="1:5">
      <c r="A53" s="7" t="s">
        <v>172</v>
      </c>
      <c r="B53" s="48">
        <v>36.200000000000003</v>
      </c>
      <c r="C53" s="17" t="s">
        <v>27</v>
      </c>
      <c r="D53"/>
      <c r="E53"/>
    </row>
    <row r="54" spans="1:5">
      <c r="A54" s="5" t="s">
        <v>74</v>
      </c>
      <c r="B54" s="18">
        <f>AVERAGE(B51:B53)</f>
        <v>35.366666666666667</v>
      </c>
      <c r="C54" s="17" t="s">
        <v>27</v>
      </c>
      <c r="D54"/>
      <c r="E54"/>
    </row>
    <row r="55" spans="1:5">
      <c r="A55" s="5" t="s">
        <v>75</v>
      </c>
      <c r="B55" s="19">
        <f>MIN(B51:B53)</f>
        <v>34.6</v>
      </c>
      <c r="C55" s="17" t="s">
        <v>27</v>
      </c>
      <c r="D55"/>
      <c r="E55"/>
    </row>
    <row r="56" spans="1:5">
      <c r="A56" s="5" t="s">
        <v>76</v>
      </c>
      <c r="B56" s="19">
        <f>MAX(B51:B53)</f>
        <v>36.200000000000003</v>
      </c>
      <c r="C56" s="17" t="s">
        <v>27</v>
      </c>
      <c r="D56"/>
      <c r="E56"/>
    </row>
    <row r="57" spans="1:5">
      <c r="C57" s="3"/>
      <c r="D57"/>
      <c r="E57"/>
    </row>
  </sheetData>
  <sheetProtection sheet="1" objects="1" scenarios="1" selectLockedCells="1"/>
  <mergeCells count="1">
    <mergeCell ref="C38:M40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C4" sqref="C4"/>
    </sheetView>
  </sheetViews>
  <sheetFormatPr defaultRowHeight="15"/>
  <cols>
    <col min="1" max="1" width="44.42578125" style="1" bestFit="1" customWidth="1"/>
    <col min="2" max="2" width="13.42578125" style="2" bestFit="1" customWidth="1"/>
    <col min="3" max="4" width="13.42578125" bestFit="1" customWidth="1"/>
    <col min="10" max="10" width="10.140625" customWidth="1"/>
  </cols>
  <sheetData>
    <row r="1" spans="1:10">
      <c r="B1" s="9" t="s">
        <v>94</v>
      </c>
      <c r="C1" t="s">
        <v>96</v>
      </c>
      <c r="D1" t="s">
        <v>95</v>
      </c>
    </row>
    <row r="2" spans="1:10">
      <c r="A2" s="1" t="s">
        <v>112</v>
      </c>
      <c r="B2" s="20">
        <f>'Inputs - Non-dimensional'!B55</f>
        <v>34.6</v>
      </c>
      <c r="C2" s="20">
        <f>'Inputs - Non-dimensional'!B54</f>
        <v>35.366666666666667</v>
      </c>
      <c r="D2" s="20">
        <f>'Inputs - Non-dimensional'!B56</f>
        <v>36.200000000000003</v>
      </c>
      <c r="E2" t="s">
        <v>27</v>
      </c>
    </row>
    <row r="3" spans="1:10">
      <c r="A3" s="1" t="s">
        <v>113</v>
      </c>
      <c r="B3" s="20">
        <f>'Inputs - Non-dimensional'!B34/10.197162129779</f>
        <v>1043.9006150000007</v>
      </c>
      <c r="C3" s="20">
        <f>'Inputs - Non-dimensional'!B33/10.197162129779</f>
        <v>1043.1199500000007</v>
      </c>
      <c r="D3" s="20">
        <f>'Inputs - Non-dimensional'!B35/10.197162129779</f>
        <v>1041.8489525000007</v>
      </c>
      <c r="E3" t="s">
        <v>109</v>
      </c>
    </row>
    <row r="4" spans="1:10">
      <c r="A4" s="1" t="s">
        <v>62</v>
      </c>
      <c r="B4" s="9">
        <f>C4-1</f>
        <v>49</v>
      </c>
      <c r="C4" s="48">
        <v>50</v>
      </c>
      <c r="D4" s="9">
        <f>C4+1</f>
        <v>51</v>
      </c>
      <c r="E4" t="s">
        <v>63</v>
      </c>
    </row>
    <row r="5" spans="1:10">
      <c r="A5" s="1" t="s">
        <v>60</v>
      </c>
      <c r="B5" s="48">
        <v>22</v>
      </c>
      <c r="C5" s="48">
        <v>23</v>
      </c>
      <c r="D5" s="48">
        <v>24</v>
      </c>
      <c r="E5" t="s">
        <v>27</v>
      </c>
      <c r="F5" s="80" t="s">
        <v>61</v>
      </c>
      <c r="G5" s="80"/>
      <c r="H5" s="80"/>
    </row>
    <row r="6" spans="1:10">
      <c r="A6" s="1" t="s">
        <v>58</v>
      </c>
      <c r="B6" s="48">
        <v>1.1013999999999999</v>
      </c>
      <c r="C6" s="48">
        <v>1.099</v>
      </c>
      <c r="D6" s="48">
        <v>1.0976999999999999</v>
      </c>
      <c r="E6" t="s">
        <v>64</v>
      </c>
      <c r="F6" s="80" t="s">
        <v>59</v>
      </c>
      <c r="G6" s="80"/>
      <c r="H6" s="80"/>
      <c r="I6" s="80"/>
      <c r="J6" s="80"/>
    </row>
    <row r="7" spans="1:10">
      <c r="B7" s="21"/>
    </row>
    <row r="8" spans="1:10">
      <c r="B8" s="21"/>
    </row>
    <row r="9" spans="1:10">
      <c r="A9" s="1" t="s">
        <v>139</v>
      </c>
      <c r="B9" s="20">
        <f>'Inputs - Non-dimensional'!B47</f>
        <v>20.399999999999999</v>
      </c>
      <c r="C9" s="20">
        <f>'Inputs - Non-dimensional'!B46</f>
        <v>20.599999999999998</v>
      </c>
      <c r="D9" s="20">
        <f>'Inputs - Non-dimensional'!B48</f>
        <v>20.9</v>
      </c>
      <c r="E9" t="s">
        <v>27</v>
      </c>
    </row>
    <row r="10" spans="1:10">
      <c r="A10" s="1" t="s">
        <v>140</v>
      </c>
      <c r="B10" s="20">
        <f>'Inputs - Non-dimensional'!B22</f>
        <v>1013.5</v>
      </c>
      <c r="C10" s="20">
        <f>'Inputs - Non-dimensional'!B21</f>
        <v>1013.6999999999999</v>
      </c>
      <c r="D10" s="20">
        <f>'Inputs - Non-dimensional'!B23</f>
        <v>1013.9</v>
      </c>
      <c r="E10" t="s">
        <v>109</v>
      </c>
    </row>
    <row r="11" spans="1:10">
      <c r="A11" s="1" t="s">
        <v>62</v>
      </c>
      <c r="B11" s="9">
        <f>C11-1</f>
        <v>49</v>
      </c>
      <c r="C11" s="48">
        <v>50</v>
      </c>
      <c r="D11" s="9">
        <f>C11+1</f>
        <v>51</v>
      </c>
      <c r="E11" t="s">
        <v>63</v>
      </c>
    </row>
    <row r="12" spans="1:10">
      <c r="A12" s="1" t="s">
        <v>60</v>
      </c>
      <c r="B12" s="48">
        <v>9</v>
      </c>
      <c r="C12" s="48">
        <v>10</v>
      </c>
      <c r="D12" s="48">
        <v>11</v>
      </c>
      <c r="E12" t="s">
        <v>27</v>
      </c>
      <c r="F12" s="80" t="s">
        <v>61</v>
      </c>
      <c r="G12" s="80"/>
      <c r="H12" s="80"/>
    </row>
    <row r="13" spans="1:10">
      <c r="A13" s="1" t="s">
        <v>58</v>
      </c>
      <c r="B13" s="48">
        <v>1.1976</v>
      </c>
      <c r="C13" s="48">
        <v>1.1967000000000001</v>
      </c>
      <c r="D13" s="48">
        <v>1.1953</v>
      </c>
      <c r="E13" t="s">
        <v>64</v>
      </c>
      <c r="F13" s="80" t="s">
        <v>59</v>
      </c>
      <c r="G13" s="80"/>
      <c r="H13" s="80"/>
      <c r="I13" s="80"/>
      <c r="J13" s="80"/>
    </row>
    <row r="16" spans="1:10">
      <c r="A16" s="1" t="s">
        <v>52</v>
      </c>
      <c r="B16" s="48">
        <v>90</v>
      </c>
      <c r="C16" s="48">
        <v>100</v>
      </c>
      <c r="D16" s="48">
        <v>110</v>
      </c>
      <c r="E16" t="s">
        <v>54</v>
      </c>
    </row>
    <row r="17" spans="1:12">
      <c r="E17" s="80" t="s">
        <v>53</v>
      </c>
      <c r="F17" s="80"/>
      <c r="G17" s="80"/>
      <c r="H17" s="80"/>
      <c r="I17" s="80"/>
      <c r="J17" s="80"/>
      <c r="K17" s="80"/>
      <c r="L17" s="80"/>
    </row>
    <row r="19" spans="1:12">
      <c r="B19" s="20"/>
    </row>
    <row r="20" spans="1:12">
      <c r="A20" s="1" t="s">
        <v>68</v>
      </c>
      <c r="B20" s="50">
        <v>1.9084273999999998E-5</v>
      </c>
      <c r="C20" s="50">
        <v>1.9122982E-5</v>
      </c>
      <c r="D20" s="50">
        <v>1.9161643000000001E-5</v>
      </c>
      <c r="E20" t="s">
        <v>69</v>
      </c>
      <c r="F20" s="80" t="s">
        <v>67</v>
      </c>
      <c r="G20" s="80"/>
      <c r="H20" s="80"/>
      <c r="I20" s="80"/>
      <c r="J20" s="80"/>
    </row>
    <row r="21" spans="1:12">
      <c r="B21" s="9"/>
    </row>
    <row r="23" spans="1:12">
      <c r="A23" s="1" t="s">
        <v>51</v>
      </c>
      <c r="B23" s="51">
        <v>1.4</v>
      </c>
      <c r="C23" s="51">
        <v>1.401</v>
      </c>
      <c r="D23" s="51">
        <v>1.401</v>
      </c>
      <c r="E23" s="79" t="s">
        <v>66</v>
      </c>
      <c r="F23" s="80"/>
      <c r="G23" s="80"/>
      <c r="H23" s="80"/>
      <c r="I23" s="80"/>
      <c r="J23" s="80"/>
      <c r="K23" s="80"/>
    </row>
  </sheetData>
  <sheetProtection sheet="1" objects="1" scenarios="1" selectLockedCells="1"/>
  <mergeCells count="7">
    <mergeCell ref="E23:K23"/>
    <mergeCell ref="F5:H5"/>
    <mergeCell ref="F6:J6"/>
    <mergeCell ref="F12:H12"/>
    <mergeCell ref="F13:J13"/>
    <mergeCell ref="E17:L17"/>
    <mergeCell ref="F20:J20"/>
  </mergeCells>
  <hyperlinks>
    <hyperlink ref="F6" r:id="rId1"/>
    <hyperlink ref="F5" r:id="rId2"/>
    <hyperlink ref="E17" r:id="rId3"/>
    <hyperlink ref="F20" r:id="rId4"/>
    <hyperlink ref="E23" r:id="rId5"/>
    <hyperlink ref="F13" r:id="rId6"/>
    <hyperlink ref="F12" r:id="rId7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97" zoomScaleNormal="97" workbookViewId="0"/>
  </sheetViews>
  <sheetFormatPr defaultRowHeight="15"/>
  <cols>
    <col min="1" max="1" width="51" bestFit="1" customWidth="1"/>
    <col min="2" max="2" width="11.85546875" bestFit="1" customWidth="1"/>
    <col min="3" max="3" width="11.85546875" style="2" bestFit="1" customWidth="1"/>
    <col min="4" max="4" width="11.85546875" bestFit="1" customWidth="1"/>
    <col min="5" max="5" width="9.140625" style="12"/>
    <col min="6" max="6" width="2.85546875" customWidth="1"/>
    <col min="7" max="7" width="53.7109375" bestFit="1" customWidth="1"/>
    <col min="8" max="8" width="9.28515625" style="9" bestFit="1" customWidth="1"/>
    <col min="9" max="9" width="12.85546875" style="9" bestFit="1" customWidth="1"/>
    <col min="10" max="10" width="9.28515625" style="9" bestFit="1" customWidth="1"/>
  </cols>
  <sheetData>
    <row r="1" spans="1:11">
      <c r="A1" t="s">
        <v>97</v>
      </c>
      <c r="G1" t="s">
        <v>98</v>
      </c>
    </row>
    <row r="2" spans="1:11">
      <c r="B2" s="9" t="s">
        <v>94</v>
      </c>
      <c r="C2" s="9" t="s">
        <v>96</v>
      </c>
      <c r="D2" s="9" t="s">
        <v>95</v>
      </c>
      <c r="H2" s="9" t="s">
        <v>94</v>
      </c>
      <c r="I2" s="9" t="s">
        <v>96</v>
      </c>
      <c r="J2" s="9" t="s">
        <v>95</v>
      </c>
    </row>
    <row r="3" spans="1:11">
      <c r="A3" t="s">
        <v>91</v>
      </c>
      <c r="B3" s="9">
        <f>'Inputs - Dimensions'!E2</f>
        <v>15</v>
      </c>
      <c r="C3" s="13">
        <f>'Inputs - Dimensions'!B2</f>
        <v>15.5</v>
      </c>
      <c r="D3" s="9">
        <f>'Inputs - Dimensions'!G2</f>
        <v>16</v>
      </c>
      <c r="E3" s="12" t="s">
        <v>27</v>
      </c>
      <c r="G3" t="s">
        <v>125</v>
      </c>
      <c r="H3" s="9">
        <f>B5/D4</f>
        <v>0.5914241960183767</v>
      </c>
      <c r="I3" s="9">
        <f>C5/C4</f>
        <v>0.59557627531090329</v>
      </c>
      <c r="J3" s="9">
        <f>D5/B4</f>
        <v>0.60049436119264632</v>
      </c>
    </row>
    <row r="4" spans="1:11">
      <c r="A4" t="s">
        <v>116</v>
      </c>
      <c r="B4" s="3">
        <f>'Inputs - Dimensions'!B10</f>
        <v>64.73</v>
      </c>
      <c r="C4" s="3">
        <f>'Inputs - Dimensions'!B9</f>
        <v>65.065833333333316</v>
      </c>
      <c r="D4" s="3">
        <f>'Inputs - Dimensions'!B11</f>
        <v>65.3</v>
      </c>
      <c r="E4" s="17" t="s">
        <v>108</v>
      </c>
      <c r="G4" t="s">
        <v>126</v>
      </c>
      <c r="H4" s="9">
        <f>B8/D4</f>
        <v>0.97151607963246556</v>
      </c>
      <c r="I4" s="9">
        <f>C8/C4</f>
        <v>0.97644693195353449</v>
      </c>
      <c r="J4" s="9">
        <f>D8/B4</f>
        <v>0.98377877336629072</v>
      </c>
    </row>
    <row r="5" spans="1:11">
      <c r="A5" t="s">
        <v>115</v>
      </c>
      <c r="B5" s="3">
        <f>'Inputs - Dimensions'!B19</f>
        <v>38.619999999999997</v>
      </c>
      <c r="C5" s="3">
        <f>'Inputs - Dimensions'!B18</f>
        <v>38.751666666666672</v>
      </c>
      <c r="D5" s="3">
        <f>'Inputs - Dimensions'!B20</f>
        <v>38.869999999999997</v>
      </c>
      <c r="E5" s="17" t="s">
        <v>108</v>
      </c>
      <c r="G5" t="s">
        <v>127</v>
      </c>
      <c r="H5" s="9">
        <f>B9/D4</f>
        <v>0.51133231240428789</v>
      </c>
      <c r="I5" s="9">
        <f>C9/C4</f>
        <v>0.51429961961602999</v>
      </c>
      <c r="J5" s="9">
        <f>D9/B4</f>
        <v>0.5179978371697822</v>
      </c>
    </row>
    <row r="6" spans="1:11">
      <c r="A6" t="s">
        <v>99</v>
      </c>
      <c r="B6" s="3">
        <f>'Inputs - Dimensions'!B32</f>
        <v>0.52</v>
      </c>
      <c r="C6" s="4">
        <f>'Inputs - Dimensions'!B31</f>
        <v>0.69041666666666657</v>
      </c>
      <c r="D6" s="3">
        <f>'Inputs - Dimensions'!B33</f>
        <v>0.85</v>
      </c>
      <c r="E6" s="17" t="s">
        <v>108</v>
      </c>
      <c r="G6" t="s">
        <v>107</v>
      </c>
      <c r="H6" s="21">
        <f>(B12*10.197162129779)-B11</f>
        <v>10049.823818531017</v>
      </c>
      <c r="I6" s="14">
        <f>(C12*10.197162129779)-C11</f>
        <v>10036.863250956972</v>
      </c>
      <c r="J6" s="21">
        <f>(D12*10.197162129779)-D11</f>
        <v>10028.902683382928</v>
      </c>
      <c r="K6" t="s">
        <v>45</v>
      </c>
    </row>
    <row r="7" spans="1:11">
      <c r="A7" t="s">
        <v>100</v>
      </c>
      <c r="B7" s="3">
        <f>'Inputs - Dimensions'!B45</f>
        <v>2.91</v>
      </c>
      <c r="C7" s="4">
        <f>'Inputs - Dimensions'!B44</f>
        <v>3.0695833333333336</v>
      </c>
      <c r="D7" s="3">
        <f>'Inputs - Dimensions'!B46</f>
        <v>3.25</v>
      </c>
      <c r="E7" s="17" t="s">
        <v>108</v>
      </c>
      <c r="G7" t="s">
        <v>117</v>
      </c>
      <c r="H7" s="3">
        <f>((B4*10^(-3))*(1+((B17*10^(-6))*(B14-D3))))*1000</f>
        <v>64.838358020000001</v>
      </c>
      <c r="I7" s="4">
        <f>((C4*10^(-3))*(1+((C17*10^(-6))*(C14-C3))))*1000</f>
        <v>65.19509745555554</v>
      </c>
      <c r="J7" s="3">
        <f>((D4*10^(-3))*(1+((D17*10^(-6))*(D14-B3))))*1000</f>
        <v>65.452279599999997</v>
      </c>
      <c r="K7" s="17" t="s">
        <v>108</v>
      </c>
    </row>
    <row r="8" spans="1:11">
      <c r="A8" t="s">
        <v>121</v>
      </c>
      <c r="B8" s="3">
        <f>'Inputs - Dimensions'!B51</f>
        <v>63.44</v>
      </c>
      <c r="C8" s="3">
        <f>'Inputs - Dimensions'!B50</f>
        <v>63.533333333333331</v>
      </c>
      <c r="D8" s="3">
        <f>'Inputs - Dimensions'!B52</f>
        <v>63.68</v>
      </c>
      <c r="E8" s="17" t="s">
        <v>108</v>
      </c>
      <c r="G8" t="s">
        <v>118</v>
      </c>
      <c r="H8" s="3">
        <f>((B5*10^(-3))*(1+((B17*10^(-6))*(B14-D3))))*1000</f>
        <v>38.684649879999995</v>
      </c>
      <c r="I8" s="4">
        <f>((C5*10^(-3))*(1+((C17*10^(-6))*(C14-C3))))*1000</f>
        <v>38.828653311111111</v>
      </c>
      <c r="J8" s="3">
        <f>((D5*10^(-3))*(1+((D17*10^(-6))*(D14-B3))))*1000</f>
        <v>38.960644839999993</v>
      </c>
      <c r="K8" s="17" t="s">
        <v>108</v>
      </c>
    </row>
    <row r="9" spans="1:11">
      <c r="A9" t="s">
        <v>122</v>
      </c>
      <c r="B9" s="3">
        <f>'Inputs - Dimensions'!B57</f>
        <v>33.39</v>
      </c>
      <c r="C9" s="3">
        <f>'Inputs - Dimensions'!B56</f>
        <v>33.463333333333331</v>
      </c>
      <c r="D9" s="3">
        <f>'Inputs - Dimensions'!B58</f>
        <v>33.53</v>
      </c>
      <c r="E9" s="17" t="s">
        <v>108</v>
      </c>
      <c r="G9" t="s">
        <v>124</v>
      </c>
      <c r="H9" s="3">
        <f>((B8*10^(-3))*(1+((B17*10^(-6))*(B14-D3))))*1000</f>
        <v>63.546198559999986</v>
      </c>
      <c r="I9" s="4">
        <f>((C8*10^(-3))*(1+((C17*10^(-6))*(C14-C3))))*1000</f>
        <v>63.659552888888889</v>
      </c>
      <c r="J9" s="3">
        <f>((D8*10^(-3))*(1+((D17*10^(-6))*(D14-B3))))*1000</f>
        <v>63.828501760000002</v>
      </c>
      <c r="K9" s="17" t="s">
        <v>108</v>
      </c>
    </row>
    <row r="10" spans="1:11">
      <c r="A10" t="s">
        <v>101</v>
      </c>
      <c r="B10" s="21">
        <f>'Inputs - Non-dimensional'!B6</f>
        <v>69.900000000000006</v>
      </c>
      <c r="C10" s="14">
        <f>'Inputs - Non-dimensional'!B5</f>
        <v>70.100000000000009</v>
      </c>
      <c r="D10" s="21">
        <f>'Inputs - Non-dimensional'!B7</f>
        <v>70.3</v>
      </c>
      <c r="E10" s="27" t="s">
        <v>45</v>
      </c>
      <c r="G10" t="s">
        <v>123</v>
      </c>
      <c r="H10" s="3">
        <f>((B9*10^(-3))*(1+((B17*10^(-6))*(B14-D3))))*1000</f>
        <v>33.445894859999996</v>
      </c>
      <c r="I10" s="4">
        <f>((C9*10^(-3))*(1+((C17*10^(-6))*(C14-C3))))*1000</f>
        <v>33.529813822222216</v>
      </c>
      <c r="J10" s="3">
        <f>((D9*10^(-3))*(1+((D17*10^(-6))*(D14-B3))))*1000</f>
        <v>33.608191960000006</v>
      </c>
      <c r="K10" s="17" t="s">
        <v>108</v>
      </c>
    </row>
    <row r="11" spans="1:11">
      <c r="A11" t="s">
        <v>102</v>
      </c>
      <c r="B11" s="21">
        <f>'Inputs - Non-dimensional'!B14</f>
        <v>285</v>
      </c>
      <c r="C11" s="14">
        <f>'Inputs - Non-dimensional'!B13</f>
        <v>300</v>
      </c>
      <c r="D11" s="21">
        <f>'Inputs - Non-dimensional'!B15</f>
        <v>310</v>
      </c>
      <c r="E11" s="27" t="s">
        <v>45</v>
      </c>
      <c r="G11" t="s">
        <v>128</v>
      </c>
      <c r="H11" s="9">
        <f>H8/J7</f>
        <v>0.59103594430040285</v>
      </c>
      <c r="I11" s="13">
        <f>I8/I7</f>
        <v>0.59557627531090318</v>
      </c>
      <c r="J11" s="9">
        <f>J8/H7</f>
        <v>0.60088882614797579</v>
      </c>
    </row>
    <row r="12" spans="1:11">
      <c r="A12" t="s">
        <v>103</v>
      </c>
      <c r="B12" s="9">
        <f>'Inputs - Non-dimensional'!B22</f>
        <v>1013.5</v>
      </c>
      <c r="C12" s="13">
        <f>'Inputs - Non-dimensional'!B21</f>
        <v>1013.6999999999999</v>
      </c>
      <c r="D12" s="9">
        <f>'Inputs - Non-dimensional'!B23</f>
        <v>1013.9</v>
      </c>
      <c r="E12" s="12" t="s">
        <v>109</v>
      </c>
      <c r="G12" t="s">
        <v>129</v>
      </c>
      <c r="H12" s="9">
        <f>H9/J7</f>
        <v>0.97087830933240693</v>
      </c>
      <c r="I12" s="13">
        <f>I9/I7</f>
        <v>0.97644693195353449</v>
      </c>
      <c r="J12" s="9">
        <f>J9/H7</f>
        <v>0.98442501798567295</v>
      </c>
    </row>
    <row r="13" spans="1:11">
      <c r="A13" t="s">
        <v>110</v>
      </c>
      <c r="B13" s="9">
        <f>'Inputs - Non-dimensional'!B47</f>
        <v>20.399999999999999</v>
      </c>
      <c r="C13" s="13">
        <f>'Inputs - Non-dimensional'!B46</f>
        <v>20.599999999999998</v>
      </c>
      <c r="D13" s="9">
        <f>'Inputs - Non-dimensional'!B48</f>
        <v>20.9</v>
      </c>
      <c r="E13" s="12" t="s">
        <v>27</v>
      </c>
      <c r="G13" t="s">
        <v>130</v>
      </c>
      <c r="H13" s="9">
        <f>H10/J7</f>
        <v>0.51099663853419086</v>
      </c>
      <c r="I13" s="13">
        <f>I10/I7</f>
        <v>0.51429961961602999</v>
      </c>
      <c r="J13" s="9">
        <f>J10/H7</f>
        <v>0.5183381101297051</v>
      </c>
    </row>
    <row r="14" spans="1:11">
      <c r="A14" t="s">
        <v>111</v>
      </c>
      <c r="B14" s="9">
        <f>'Inputs - Non-dimensional'!B55</f>
        <v>34.6</v>
      </c>
      <c r="C14" s="18">
        <f>'Inputs - Non-dimensional'!B54</f>
        <v>35.366666666666667</v>
      </c>
      <c r="D14" s="9">
        <f>'Inputs - Non-dimensional'!B56</f>
        <v>36.200000000000003</v>
      </c>
      <c r="E14" s="12" t="s">
        <v>27</v>
      </c>
      <c r="G14" s="7" t="s">
        <v>133</v>
      </c>
      <c r="H14" s="9">
        <f>1-((0.41+(0.35*(H11^4)))*(B11/(B19*H6)))</f>
        <v>0.99082981911681811</v>
      </c>
      <c r="I14" s="13">
        <f>1-((0.41+(0.35*(I11^4)))*(C11/(C19*I6)))</f>
        <v>0.99031328893374471</v>
      </c>
      <c r="J14" s="9">
        <f>1-((0.41+(0.35*(J11^4)))*(D11/(D19*J6)))</f>
        <v>0.98994731993587182</v>
      </c>
    </row>
    <row r="15" spans="1:11">
      <c r="A15" t="s">
        <v>114</v>
      </c>
      <c r="B15" s="9">
        <f>'Inputs - Internet'!B6</f>
        <v>1.1013999999999999</v>
      </c>
      <c r="C15" s="13">
        <f>'Inputs - Internet'!C6</f>
        <v>1.099</v>
      </c>
      <c r="D15" s="9">
        <f>'Inputs - Internet'!D6</f>
        <v>1.0976999999999999</v>
      </c>
      <c r="E15" s="12" t="s">
        <v>64</v>
      </c>
      <c r="G15" t="s">
        <v>134</v>
      </c>
      <c r="H15" s="9">
        <f>(1-(H11^4))^(-0.5)</f>
        <v>1.0672333665319056</v>
      </c>
      <c r="I15" s="13">
        <f>(1-(I11^4))^(-0.5)</f>
        <v>1.0695462220667094</v>
      </c>
      <c r="J15" s="9">
        <f>(1-(J11^4))^(-0.5)</f>
        <v>1.0723403721477702</v>
      </c>
    </row>
    <row r="16" spans="1:11">
      <c r="A16" t="s">
        <v>141</v>
      </c>
      <c r="B16" s="25">
        <f>'Inputs - Internet'!B13</f>
        <v>1.1976</v>
      </c>
      <c r="C16" s="13">
        <f>'Inputs - Internet'!C13</f>
        <v>1.1967000000000001</v>
      </c>
      <c r="D16" s="25">
        <f>'Inputs - Internet'!D13</f>
        <v>1.1953</v>
      </c>
      <c r="E16" s="12" t="s">
        <v>64</v>
      </c>
    </row>
    <row r="17" spans="1:11">
      <c r="A17" t="s">
        <v>119</v>
      </c>
      <c r="B17" s="21">
        <f>'Inputs - Internet'!B16</f>
        <v>90</v>
      </c>
      <c r="C17" s="14">
        <f>'Inputs - Internet'!C16</f>
        <v>100</v>
      </c>
      <c r="D17" s="21">
        <f>'Inputs - Internet'!D16</f>
        <v>110</v>
      </c>
      <c r="E17" s="12" t="s">
        <v>120</v>
      </c>
      <c r="G17" t="s">
        <v>135</v>
      </c>
      <c r="H17" s="20">
        <f>'Final Calculations Sheet'!B6</f>
        <v>105.56080906186519</v>
      </c>
      <c r="I17" s="20">
        <f>'Final Calculations Sheet'!C6</f>
        <v>109.22044479072001</v>
      </c>
      <c r="J17" s="20">
        <f>'Final Calculations Sheet'!D6</f>
        <v>112.07828061987279</v>
      </c>
      <c r="K17" t="s">
        <v>90</v>
      </c>
    </row>
    <row r="18" spans="1:11">
      <c r="A18" s="7" t="s">
        <v>131</v>
      </c>
      <c r="B18" s="28">
        <f>'Inputs - Internet'!B20</f>
        <v>1.9084273999999998E-5</v>
      </c>
      <c r="C18" s="29">
        <f>'Inputs - Internet'!C20</f>
        <v>1.9122982E-5</v>
      </c>
      <c r="D18" s="28">
        <f>'Inputs - Internet'!D20</f>
        <v>1.9161643000000001E-5</v>
      </c>
      <c r="E18" t="s">
        <v>69</v>
      </c>
    </row>
    <row r="19" spans="1:11">
      <c r="A19" s="7" t="s">
        <v>132</v>
      </c>
      <c r="B19" s="30">
        <f>'Inputs - Internet'!B23</f>
        <v>1.4</v>
      </c>
      <c r="C19" s="31">
        <f>'Inputs - Internet'!C23</f>
        <v>1.401</v>
      </c>
      <c r="D19" s="30">
        <f>'Inputs - Internet'!D23</f>
        <v>1.401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"/>
  <sheetViews>
    <sheetView workbookViewId="0">
      <selection activeCell="B1" sqref="B1"/>
    </sheetView>
  </sheetViews>
  <sheetFormatPr defaultRowHeight="15"/>
  <sheetData>
    <row r="1" spans="1:2">
      <c r="A1" s="1" t="s">
        <v>34</v>
      </c>
      <c r="B1" s="24">
        <v>1000000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C20" sqref="C20"/>
    </sheetView>
  </sheetViews>
  <sheetFormatPr defaultRowHeight="15"/>
  <cols>
    <col min="1" max="1" width="19.42578125" customWidth="1"/>
    <col min="2" max="4" width="12.7109375" bestFit="1" customWidth="1"/>
  </cols>
  <sheetData>
    <row r="1" spans="1:4">
      <c r="B1" s="25" t="s">
        <v>94</v>
      </c>
      <c r="C1" s="25" t="s">
        <v>96</v>
      </c>
      <c r="D1" s="25" t="s">
        <v>95</v>
      </c>
    </row>
    <row r="2" spans="1:4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4">
      <c r="A3" s="1" t="s">
        <v>4</v>
      </c>
      <c r="B3" s="3">
        <f>'Dimensions and Readings'!H7</f>
        <v>64.838358020000001</v>
      </c>
      <c r="C3" s="3">
        <f>'Dimensions and Readings'!I7</f>
        <v>65.19509745555554</v>
      </c>
      <c r="D3" s="3">
        <f>'Dimensions and Readings'!J7</f>
        <v>65.452279599999997</v>
      </c>
    </row>
    <row r="4" spans="1:4">
      <c r="A4" s="1" t="s">
        <v>31</v>
      </c>
      <c r="B4" s="25">
        <f>B2/B3</f>
        <v>0.59663216437509647</v>
      </c>
      <c r="C4" s="25">
        <f>C2/C3</f>
        <v>0.59557627531090318</v>
      </c>
      <c r="D4" s="25">
        <f>D2/D3</f>
        <v>0.5952526799387442</v>
      </c>
    </row>
    <row r="5" spans="1:4">
      <c r="A5" s="1" t="s">
        <v>28</v>
      </c>
      <c r="B5" s="3">
        <f>'Dimensions and Readings'!H9</f>
        <v>63.546198559999986</v>
      </c>
      <c r="C5" s="3">
        <f>'Dimensions and Readings'!I9</f>
        <v>63.659552888888889</v>
      </c>
      <c r="D5" s="3">
        <f>'Dimensions and Readings'!J9</f>
        <v>63.828501760000002</v>
      </c>
    </row>
    <row r="6" spans="1:4">
      <c r="A6" s="1" t="s">
        <v>57</v>
      </c>
      <c r="B6" s="3">
        <f>'Dimensions and Readings'!H10</f>
        <v>33.445894859999996</v>
      </c>
      <c r="C6" s="3">
        <f>'Dimensions and Readings'!I10</f>
        <v>33.529813822222216</v>
      </c>
      <c r="D6" s="3">
        <f>'Dimensions and Readings'!J10</f>
        <v>33.608191960000006</v>
      </c>
    </row>
    <row r="7" spans="1:4">
      <c r="A7" s="1" t="s">
        <v>32</v>
      </c>
      <c r="B7" s="25">
        <f>B5/B3</f>
        <v>0.98007106442144265</v>
      </c>
      <c r="C7" s="25">
        <f>C5/C3</f>
        <v>0.97644693195353449</v>
      </c>
      <c r="D7" s="25">
        <f>D5/D3</f>
        <v>0.97519142419601845</v>
      </c>
    </row>
    <row r="8" spans="1:4">
      <c r="A8" s="1" t="s">
        <v>33</v>
      </c>
      <c r="B8" s="25">
        <f>B6/B3</f>
        <v>0.51583500695195417</v>
      </c>
      <c r="C8" s="25">
        <f>C6/C3</f>
        <v>0.51429961961602999</v>
      </c>
      <c r="D8" s="25">
        <f>D6/D3</f>
        <v>0.51347626339969388</v>
      </c>
    </row>
    <row r="9" spans="1:4">
      <c r="A9" s="1" t="s">
        <v>34</v>
      </c>
      <c r="B9" s="21">
        <f>'Re (1st iteration)'!$B$1</f>
        <v>1000000</v>
      </c>
      <c r="C9" s="21">
        <f>'Re (1st iteration)'!$B$1</f>
        <v>1000000</v>
      </c>
      <c r="D9" s="21">
        <f>'Re (1st iteration)'!$B$1</f>
        <v>1000000</v>
      </c>
    </row>
    <row r="12" spans="1:4" ht="30">
      <c r="A12" s="32" t="s">
        <v>70</v>
      </c>
    </row>
    <row r="13" spans="1:4">
      <c r="A13" s="1" t="s">
        <v>36</v>
      </c>
      <c r="B13" s="25">
        <v>0.59589999999999999</v>
      </c>
      <c r="C13" s="25">
        <v>0.59589999999999999</v>
      </c>
      <c r="D13" s="25">
        <v>0.59589999999999999</v>
      </c>
    </row>
    <row r="14" spans="1:4">
      <c r="A14" s="1" t="s">
        <v>37</v>
      </c>
      <c r="B14" s="25">
        <f>0.0312*B4^2.1</f>
        <v>1.0547234091692918E-2</v>
      </c>
      <c r="C14" s="25">
        <f>0.0312*C4^2.1</f>
        <v>1.0508073738259939E-2</v>
      </c>
      <c r="D14" s="25">
        <f>0.0312*D4^2.1</f>
        <v>1.049608764863481E-2</v>
      </c>
    </row>
    <row r="15" spans="1:4">
      <c r="A15" s="1" t="s">
        <v>38</v>
      </c>
      <c r="B15" s="25">
        <f>-0.184*B4^8</f>
        <v>-2.9544124339032649E-3</v>
      </c>
      <c r="C15" s="25">
        <f>-0.184*C4^8</f>
        <v>-2.9128420667639383E-3</v>
      </c>
      <c r="D15" s="25">
        <f>-0.184*D4^8</f>
        <v>-2.9002050061303127E-3</v>
      </c>
    </row>
    <row r="16" spans="1:4">
      <c r="A16" s="1" t="s">
        <v>39</v>
      </c>
      <c r="B16" s="25">
        <f>0.0029*(B4^2.5)*(1000000/B9)^0.75</f>
        <v>7.973787433015276E-4</v>
      </c>
      <c r="C16" s="25">
        <f>0.0029*(C4^2.5)*(1000000/C9)^0.75</f>
        <v>7.9385552433346911E-4</v>
      </c>
      <c r="D16" s="25">
        <f>0.0029*(D4^2.5)*(1000000/D9)^0.75</f>
        <v>7.9277764685387921E-4</v>
      </c>
    </row>
    <row r="17" spans="1:4">
      <c r="A17" s="1" t="s">
        <v>40</v>
      </c>
      <c r="B17" s="25">
        <f>0.039*B7*(B4^4)*(1-(B4^4))^(-1)</f>
        <v>5.546162926910991E-3</v>
      </c>
      <c r="C17" s="25">
        <f>0.039*C7*(C4^4)*(1-(C4^4))^(-1)</f>
        <v>5.4810268013731909E-3</v>
      </c>
      <c r="D17" s="25">
        <f>0.039*D7*(D4^4)*(1-(D4^4))^(-1)</f>
        <v>5.4603856463136414E-3</v>
      </c>
    </row>
    <row r="18" spans="1:4">
      <c r="A18" s="1" t="s">
        <v>41</v>
      </c>
      <c r="B18" s="25">
        <f>-0.0337*B8*(B4^3)</f>
        <v>-3.6919915654314767E-3</v>
      </c>
      <c r="C18" s="25">
        <f>-0.0337*C8*(C4^3)</f>
        <v>-3.6614935387349929E-3</v>
      </c>
      <c r="D18" s="25">
        <f>-0.0337*D8*(D4^3)</f>
        <v>-3.649676331274642E-3</v>
      </c>
    </row>
    <row r="19" spans="1:4">
      <c r="A19" s="1"/>
      <c r="B19" s="25"/>
      <c r="C19" s="25"/>
      <c r="D19" s="25"/>
    </row>
    <row r="20" spans="1:4">
      <c r="A20" s="1" t="s">
        <v>35</v>
      </c>
      <c r="B20" s="25">
        <f>SUM(B13:B18)</f>
        <v>0.60614437176257074</v>
      </c>
      <c r="C20" s="13">
        <f>SUM(C13:C18)</f>
        <v>0.60610862045846758</v>
      </c>
      <c r="D20" s="25">
        <f>SUM(D13:D18)</f>
        <v>0.60609936960439748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C7" sqref="C7"/>
    </sheetView>
  </sheetViews>
  <sheetFormatPr defaultRowHeight="15"/>
  <cols>
    <col min="1" max="1" width="12.5703125" style="1" bestFit="1" customWidth="1"/>
  </cols>
  <sheetData>
    <row r="1" spans="1:5">
      <c r="B1" s="25" t="s">
        <v>94</v>
      </c>
      <c r="C1" s="25" t="s">
        <v>96</v>
      </c>
      <c r="D1" s="25" t="s">
        <v>95</v>
      </c>
    </row>
    <row r="2" spans="1:5">
      <c r="A2" s="1" t="s">
        <v>18</v>
      </c>
      <c r="B2" s="3">
        <f>'Dimensions and Readings'!H8</f>
        <v>38.684649879999995</v>
      </c>
      <c r="C2" s="3">
        <f>'Dimensions and Readings'!I8</f>
        <v>38.828653311111111</v>
      </c>
      <c r="D2" s="3">
        <f>'Dimensions and Readings'!J8</f>
        <v>38.960644839999993</v>
      </c>
    </row>
    <row r="3" spans="1:5">
      <c r="A3" s="1" t="s">
        <v>78</v>
      </c>
      <c r="B3" s="25">
        <f>'Dimensions and Readings'!B15</f>
        <v>1.1013999999999999</v>
      </c>
      <c r="C3" s="25">
        <f>'Dimensions and Readings'!C15</f>
        <v>1.099</v>
      </c>
      <c r="D3" s="25">
        <f>'Dimensions and Readings'!D15</f>
        <v>1.0976999999999999</v>
      </c>
    </row>
    <row r="4" spans="1:5">
      <c r="A4" s="1" t="s">
        <v>46</v>
      </c>
      <c r="B4" s="21">
        <f>'Dimensions and Readings'!B11</f>
        <v>285</v>
      </c>
      <c r="C4" s="21">
        <f>'Dimensions and Readings'!C11</f>
        <v>300</v>
      </c>
      <c r="D4" s="21">
        <f>'Dimensions and Readings'!D11</f>
        <v>310</v>
      </c>
      <c r="E4" t="s">
        <v>45</v>
      </c>
    </row>
    <row r="5" spans="1:5">
      <c r="A5" s="1" t="s">
        <v>46</v>
      </c>
      <c r="B5" s="25">
        <f>B4*9.80638</f>
        <v>2794.8183000000004</v>
      </c>
      <c r="C5" s="25">
        <f>C4*9.80638</f>
        <v>2941.9140000000002</v>
      </c>
      <c r="D5" s="25">
        <f>D4*9.80638</f>
        <v>3039.9778000000001</v>
      </c>
      <c r="E5" t="s">
        <v>77</v>
      </c>
    </row>
    <row r="6" spans="1:5">
      <c r="B6" s="25"/>
      <c r="C6" s="25"/>
      <c r="D6" s="25"/>
    </row>
    <row r="7" spans="1:5">
      <c r="A7" s="1" t="s">
        <v>142</v>
      </c>
      <c r="B7" s="25">
        <f>'C (1st iteration)'!B20*'Dimensions and Readings'!H15*'Dimensions and Readings'!H14*(PI()/4)*((B2/1000)^2)*(2*B5*B3)^0.5</f>
        <v>5.9110697711062025E-2</v>
      </c>
      <c r="C7" s="13">
        <f>'C (1st iteration)'!C20*'Dimensions and Readings'!I15*'Dimensions and Readings'!I14*(PI()/4)*((C2/1000)^2)*(2*C5*C3)^0.5</f>
        <v>6.112881741337306E-2</v>
      </c>
      <c r="D7" s="25">
        <f>'C (1st iteration)'!D20*'Dimensions and Readings'!J15*'Dimensions and Readings'!J14*(PI()/4)*((D2/1000)^2)*(2*D5*D3)^0.5</f>
        <v>6.2664670925211316E-2</v>
      </c>
      <c r="E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Notes</vt:lpstr>
      <vt:lpstr>Results Sheet</vt:lpstr>
      <vt:lpstr>Inputs - Dimensions</vt:lpstr>
      <vt:lpstr>Inputs - Non-dimensional</vt:lpstr>
      <vt:lpstr>Inputs - Internet</vt:lpstr>
      <vt:lpstr>Dimensions and Readings</vt:lpstr>
      <vt:lpstr>Re (1st iteration)</vt:lpstr>
      <vt:lpstr>C (1st iteration)</vt:lpstr>
      <vt:lpstr>Mass Flow Rate (1st iteration)</vt:lpstr>
      <vt:lpstr>Re (2nd iteration)</vt:lpstr>
      <vt:lpstr>C (2nd iteration)</vt:lpstr>
      <vt:lpstr>Mass Flow Rate (2nd iteration)</vt:lpstr>
      <vt:lpstr>Re (3rd iteration)</vt:lpstr>
      <vt:lpstr>C (3rd iteration)</vt:lpstr>
      <vt:lpstr>Mass Flow Rate (3rd iteration)</vt:lpstr>
      <vt:lpstr>Re (4th iteration)</vt:lpstr>
      <vt:lpstr>C (4th iteration)</vt:lpstr>
      <vt:lpstr>Mass Flow Rate (4th iteration)</vt:lpstr>
      <vt:lpstr>Final Calculations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Version 1.01</dc:creator>
  <dc:description>1.01: Hyperlink fields merged to be as wide as text
1.01: Downstream tap text amended to show correct tolerance
1.01: "Notes" worksheet added
1.01: Diameter Ratio added to "Results" worksheet</dc:description>
  <cp:lastModifiedBy>LenovoLaptop</cp:lastModifiedBy>
  <dcterms:created xsi:type="dcterms:W3CDTF">2018-10-31T18:06:34Z</dcterms:created>
  <dcterms:modified xsi:type="dcterms:W3CDTF">2018-11-03T17:53:49Z</dcterms:modified>
  <cp:contentStatus/>
</cp:coreProperties>
</file>