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0320"/>
  </bookViews>
  <sheets>
    <sheet name="A" sheetId="1" r:id="rId1"/>
  </sheets>
  <calcPr calcId="125725" calcMode="manual"/>
</workbook>
</file>

<file path=xl/calcChain.xml><?xml version="1.0" encoding="utf-8"?>
<calcChain xmlns="http://schemas.openxmlformats.org/spreadsheetml/2006/main">
  <c r="F44" i="1"/>
  <c r="F47"/>
  <c r="F46"/>
  <c r="F45"/>
  <c r="F43"/>
  <c r="E44"/>
  <c r="E50"/>
  <c r="A14" l="1"/>
  <c r="E31"/>
  <c r="E32" s="1"/>
  <c r="E33"/>
  <c r="E34"/>
  <c r="E42"/>
  <c r="E46" s="1"/>
  <c r="F42"/>
  <c r="E43"/>
  <c r="E45"/>
  <c r="F49"/>
  <c r="F51" s="1"/>
  <c r="E55"/>
  <c r="E61" s="1"/>
  <c r="E57"/>
  <c r="E58"/>
  <c r="E59"/>
  <c r="E47" l="1"/>
  <c r="E35"/>
  <c r="E60"/>
  <c r="E56"/>
  <c r="E53" s="1"/>
  <c r="E51" s="1"/>
  <c r="D23" l="1"/>
  <c r="E28"/>
  <c r="D22"/>
  <c r="D26"/>
  <c r="D25"/>
  <c r="E29"/>
  <c r="D24"/>
  <c r="E19" s="1"/>
  <c r="E18" l="1"/>
  <c r="E15"/>
  <c r="F19"/>
  <c r="E16" l="1"/>
  <c r="E17" s="1"/>
  <c r="E14" s="1"/>
  <c r="E37"/>
  <c r="E12" l="1"/>
  <c r="E38"/>
</calcChain>
</file>

<file path=xl/sharedStrings.xml><?xml version="1.0" encoding="utf-8"?>
<sst xmlns="http://schemas.openxmlformats.org/spreadsheetml/2006/main" count="65" uniqueCount="64">
  <si>
    <t>--------------------------------</t>
  </si>
  <si>
    <t>---------------------------------</t>
  </si>
  <si>
    <t xml:space="preserve"> MEASURED FROM:</t>
  </si>
  <si>
    <t>(DOWNSTREAM EDGE)</t>
  </si>
  <si>
    <t>(STD CONDITIONS)</t>
  </si>
  <si>
    <t>(UPSTREAM EDGE)</t>
  </si>
  <si>
    <t>ACTUAL</t>
  </si>
  <si>
    <t>ACTUAL UPSTREAM AIR DENSITY (kg/m3)</t>
  </si>
  <si>
    <t>AIR DENSITY AT 15C &amp; 101325pa (kg/m3)</t>
  </si>
  <si>
    <t>AIR TEMPERATURE (c)</t>
  </si>
  <si>
    <t>BAROMETRIC PRESSURE (millibars)</t>
  </si>
  <si>
    <t>BAROMETRIC PRESSURE (pascals)</t>
  </si>
  <si>
    <t>BS1042 FLOWBENCH FLOW CALCULATION MODEL</t>
  </si>
  <si>
    <t>CONSTANTS FOR AIR</t>
  </si>
  <si>
    <t>CONVERSION FACTOR (mm WATER TO PASCALS)</t>
  </si>
  <si>
    <t>DENOMINATOR 1</t>
  </si>
  <si>
    <t>DENOMINATOR 2</t>
  </si>
  <si>
    <t>DENOMINATOR 3</t>
  </si>
  <si>
    <t>DENOMINATOR 4</t>
  </si>
  <si>
    <t>DENOMINATOR 5</t>
  </si>
  <si>
    <t>DENSITY OF WATER</t>
  </si>
  <si>
    <t>DIAMETER RATIO</t>
  </si>
  <si>
    <t>DISCHARGE COEFFICIENT</t>
  </si>
  <si>
    <t>DOWNSTREAM PRESSURE (pascals)</t>
  </si>
  <si>
    <t>DOWNSTREAM TAPPING DISTANCE (mm)</t>
  </si>
  <si>
    <t>DYNAMIC VISCOSITY CALCULATOR (pa)</t>
  </si>
  <si>
    <t>EXPANSIBILITY FACTOR (e)</t>
  </si>
  <si>
    <t>FLOW COEFFICIENT</t>
  </si>
  <si>
    <t>GRAVITATIONAL ACCELERATION</t>
  </si>
  <si>
    <t>ISENTROPIC EXPONENT OF AIR</t>
  </si>
  <si>
    <t>kg/m^3</t>
  </si>
  <si>
    <t>KINEMATIC VISCOSITY</t>
  </si>
  <si>
    <t>MEAN AXIAL VELOCITY (m/s)</t>
  </si>
  <si>
    <t>NUMERATOR</t>
  </si>
  <si>
    <t>orifice</t>
  </si>
  <si>
    <t>ORIFICE AREA (metres^2)</t>
  </si>
  <si>
    <t>ORIFICE DIAMETER (metres)</t>
  </si>
  <si>
    <t>ORIFICE DIAMETER (mm)</t>
  </si>
  <si>
    <t>ORIFICE PRESSURE CHANGE (mm water) man X</t>
  </si>
  <si>
    <t>ORIFICE PRESSURE CHANGE (pascals)</t>
  </si>
  <si>
    <t>pipe</t>
  </si>
  <si>
    <t>PIPE AREA (metres^2)</t>
  </si>
  <si>
    <t>PIPE DIAMETER (metres)</t>
  </si>
  <si>
    <t>PIPE DIAMETER (mm)</t>
  </si>
  <si>
    <t>PRESSURE DROP REQUIRED (IN H2O)</t>
  </si>
  <si>
    <t>REYNOLDS NUMBER CALCULATED</t>
  </si>
  <si>
    <t>REYNOLDS NUMBER START POINT</t>
  </si>
  <si>
    <t>SIZES</t>
  </si>
  <si>
    <t>TEMPERATURE (kelvin)</t>
  </si>
  <si>
    <t>TERM 1</t>
  </si>
  <si>
    <t>TERM 2</t>
  </si>
  <si>
    <t>TERM 3</t>
  </si>
  <si>
    <t>TERM 4</t>
  </si>
  <si>
    <t>TERM 5</t>
  </si>
  <si>
    <t>TERM 6</t>
  </si>
  <si>
    <t>TEST PRESSURE DROP (mm water) man Y</t>
  </si>
  <si>
    <t>TEST PRESSURE DROP (pascals)</t>
  </si>
  <si>
    <t>UPSTREAM PRESSURE (pascals)</t>
  </si>
  <si>
    <t>UPSTREAM TAPPING DISTANCE (mm)</t>
  </si>
  <si>
    <t>VELOCITY OF APPROACH FACTOR (E)</t>
  </si>
  <si>
    <t>VOLUME AIR FLOW AT STANDARD CONDITIONS (CFM)</t>
  </si>
  <si>
    <t>VOLUME AIR FLOW AT TEST CONDITIONS (CFM)</t>
  </si>
  <si>
    <t>VOLUME AIR FLOW AT TEST CONDITIONS (m3/s)</t>
  </si>
  <si>
    <t>&lt;===   (START VALUE = 1000000.  RUN CALCULATION.  MANUALLY CHANGE THIS NUMBER TO THE NEW VALUE BELOW UNTIL THE NEW NUMBER = THE OLD NUMBER.)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</si>
</sst>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"/>
    <numFmt numFmtId="166" formatCode="0.0000"/>
  </numFmts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workbookViewId="0">
      <selection activeCell="E11" sqref="E11"/>
    </sheetView>
  </sheetViews>
  <sheetFormatPr defaultColWidth="10.28515625" defaultRowHeight="12.75"/>
  <cols>
    <col min="1" max="1" width="16.140625" customWidth="1"/>
    <col min="5" max="5" width="9.28515625" customWidth="1"/>
  </cols>
  <sheetData>
    <row r="1" spans="1:15">
      <c r="A1" t="s">
        <v>12</v>
      </c>
    </row>
    <row r="2" spans="1:15">
      <c r="A2" t="s">
        <v>55</v>
      </c>
      <c r="E2">
        <v>70</v>
      </c>
    </row>
    <row r="3" spans="1:15">
      <c r="A3" t="s">
        <v>38</v>
      </c>
      <c r="E3">
        <v>300</v>
      </c>
    </row>
    <row r="4" spans="1:15">
      <c r="A4" t="s">
        <v>44</v>
      </c>
      <c r="E4">
        <v>25</v>
      </c>
      <c r="F4" s="1"/>
    </row>
    <row r="5" spans="1:15">
      <c r="A5" t="s">
        <v>9</v>
      </c>
      <c r="E5" s="2">
        <v>15</v>
      </c>
      <c r="F5" s="5"/>
    </row>
    <row r="6" spans="1:15">
      <c r="A6" t="s">
        <v>10</v>
      </c>
      <c r="E6">
        <v>1013.25</v>
      </c>
    </row>
    <row r="7" spans="1:15">
      <c r="A7" t="s">
        <v>43</v>
      </c>
      <c r="E7" s="3">
        <v>64.25</v>
      </c>
      <c r="H7">
        <v>64.25</v>
      </c>
      <c r="I7" t="s">
        <v>6</v>
      </c>
    </row>
    <row r="8" spans="1:15">
      <c r="A8" t="s">
        <v>37</v>
      </c>
      <c r="E8" s="1">
        <v>32</v>
      </c>
      <c r="F8" t="s">
        <v>2</v>
      </c>
      <c r="H8">
        <v>32</v>
      </c>
      <c r="I8" t="s">
        <v>47</v>
      </c>
    </row>
    <row r="9" spans="1:15">
      <c r="A9" t="s">
        <v>58</v>
      </c>
      <c r="E9">
        <v>25.4</v>
      </c>
      <c r="F9" t="s">
        <v>5</v>
      </c>
    </row>
    <row r="10" spans="1:15">
      <c r="A10" t="s">
        <v>24</v>
      </c>
      <c r="E10">
        <v>25.4</v>
      </c>
      <c r="F10" t="s">
        <v>3</v>
      </c>
    </row>
    <row r="11" spans="1:15" s="6" customFormat="1" ht="26.25" customHeight="1">
      <c r="A11" s="6" t="s">
        <v>46</v>
      </c>
      <c r="E11" s="7">
        <v>46702</v>
      </c>
      <c r="F11" s="8" t="s">
        <v>63</v>
      </c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t="s">
        <v>45</v>
      </c>
      <c r="E12" s="2">
        <f>E37*E31/E51</f>
        <v>46702.252029125768</v>
      </c>
      <c r="F12" s="4"/>
    </row>
    <row r="13" spans="1:15">
      <c r="F13" s="4"/>
    </row>
    <row r="14" spans="1:15">
      <c r="A14" t="str">
        <f>"VOLUME AIR FLOW AT "&amp;FIXED(E4,0)&amp;" INCHES WATER (CFM)"</f>
        <v>VOLUME AIR FLOW AT 25 INCHES WATER (CFM)</v>
      </c>
      <c r="E14" s="1">
        <f>E17*((E4*25.4/E2)^0.5)</f>
        <v>220.43964197405683</v>
      </c>
      <c r="F14" t="s">
        <v>4</v>
      </c>
    </row>
    <row r="15" spans="1:15">
      <c r="A15" t="s">
        <v>62</v>
      </c>
      <c r="E15">
        <f>E19*E28*E29*E34*((2*E46/E50)^0.5)</f>
        <v>3.477721808421215E-2</v>
      </c>
    </row>
    <row r="16" spans="1:15">
      <c r="A16" t="s">
        <v>61</v>
      </c>
      <c r="E16" s="1">
        <f>E15*2118.88</f>
        <v>73.688751854275438</v>
      </c>
    </row>
    <row r="17" spans="1:6">
      <c r="A17" t="s">
        <v>60</v>
      </c>
      <c r="E17" s="1">
        <f>E16*E50/E49</f>
        <v>73.190018065969142</v>
      </c>
    </row>
    <row r="18" spans="1:6">
      <c r="A18" t="s">
        <v>27</v>
      </c>
      <c r="E18" s="4">
        <f>E19*E28</f>
        <v>0.62778329700763869</v>
      </c>
    </row>
    <row r="19" spans="1:6">
      <c r="A19" t="s">
        <v>22</v>
      </c>
      <c r="E19" s="4">
        <f>SUM(D21:D26)</f>
        <v>0.60816200287690114</v>
      </c>
      <c r="F19" s="1">
        <f>(E8/25.4)^2*PI()/4*137.86*E19</f>
        <v>104.51532165124783</v>
      </c>
    </row>
    <row r="20" spans="1:6">
      <c r="A20" t="s">
        <v>0</v>
      </c>
    </row>
    <row r="21" spans="1:6">
      <c r="A21" t="s">
        <v>49</v>
      </c>
      <c r="C21">
        <v>0.59589999999999999</v>
      </c>
      <c r="D21">
        <v>0.59589999999999999</v>
      </c>
    </row>
    <row r="22" spans="1:6">
      <c r="A22" t="s">
        <v>50</v>
      </c>
      <c r="D22">
        <f>0.0312*E35^2.1</f>
        <v>7.2183173430694341E-3</v>
      </c>
    </row>
    <row r="23" spans="1:6">
      <c r="A23" t="s">
        <v>51</v>
      </c>
      <c r="D23">
        <f>-0.184*E35^8</f>
        <v>-6.9667879747751659E-4</v>
      </c>
    </row>
    <row r="24" spans="1:6">
      <c r="A24" t="s">
        <v>52</v>
      </c>
      <c r="D24">
        <f>0.0029*E35^2.5*((1000000/E11)^0.75)</f>
        <v>5.053456178889729E-3</v>
      </c>
    </row>
    <row r="25" spans="1:6">
      <c r="A25" t="s">
        <v>53</v>
      </c>
      <c r="D25">
        <f>IF(E9/E7&gt;0.4333,0.09*E9/E7*0.039,0.09*E9/E7*E35^4/(1-E35^4))</f>
        <v>2.332874775870711E-3</v>
      </c>
    </row>
    <row r="26" spans="1:6">
      <c r="A26" t="s">
        <v>54</v>
      </c>
      <c r="D26">
        <f>IF(E10&gt;25.4,-0.0337*0.47*E35^3,-0.0337*E10/E7*E35^3)</f>
        <v>-1.6459666234512522E-3</v>
      </c>
    </row>
    <row r="28" spans="1:6">
      <c r="A28" t="s">
        <v>59</v>
      </c>
      <c r="E28">
        <f>(1-(E35^4))^-0.5</f>
        <v>1.0322632687308961</v>
      </c>
    </row>
    <row r="29" spans="1:6">
      <c r="A29" t="s">
        <v>26</v>
      </c>
      <c r="E29">
        <f>1-((0.41+(E35^4*0.35))*E46/E48/E45)</f>
        <v>0.99101167612343921</v>
      </c>
    </row>
    <row r="31" spans="1:6">
      <c r="A31" t="s">
        <v>42</v>
      </c>
      <c r="E31">
        <f>E7/1000</f>
        <v>6.4250000000000002E-2</v>
      </c>
    </row>
    <row r="32" spans="1:6">
      <c r="A32" t="s">
        <v>41</v>
      </c>
      <c r="E32">
        <f>E31^2*PI()/4</f>
        <v>3.2421727058898789E-3</v>
      </c>
    </row>
    <row r="33" spans="1:6">
      <c r="A33" t="s">
        <v>36</v>
      </c>
      <c r="E33">
        <f>E8/1000</f>
        <v>3.2000000000000001E-2</v>
      </c>
    </row>
    <row r="34" spans="1:6">
      <c r="A34" t="s">
        <v>35</v>
      </c>
      <c r="E34">
        <f>E33^2*PI()/4</f>
        <v>8.0424771931898698E-4</v>
      </c>
    </row>
    <row r="35" spans="1:6">
      <c r="A35" t="s">
        <v>21</v>
      </c>
      <c r="E35">
        <f>E33/E31</f>
        <v>0.49805447470817121</v>
      </c>
    </row>
    <row r="37" spans="1:6">
      <c r="A37" t="s">
        <v>32</v>
      </c>
      <c r="C37" t="s">
        <v>40</v>
      </c>
      <c r="E37">
        <f>E15/E32</f>
        <v>10.726516209649866</v>
      </c>
    </row>
    <row r="38" spans="1:6">
      <c r="A38" t="s">
        <v>32</v>
      </c>
      <c r="C38" t="s">
        <v>34</v>
      </c>
      <c r="E38">
        <f>E37*E32/E34</f>
        <v>43.241923164743895</v>
      </c>
    </row>
    <row r="40" spans="1:6">
      <c r="A40" t="s">
        <v>28</v>
      </c>
      <c r="E40">
        <v>9.8066499999999994</v>
      </c>
    </row>
    <row r="41" spans="1:6">
      <c r="A41" t="s">
        <v>20</v>
      </c>
      <c r="E41">
        <v>0.999</v>
      </c>
    </row>
    <row r="42" spans="1:6">
      <c r="A42" t="s">
        <v>14</v>
      </c>
      <c r="E42">
        <f>E41*E40</f>
        <v>9.7968433499999996</v>
      </c>
      <c r="F42">
        <f>30*9.79</f>
        <v>293.7</v>
      </c>
    </row>
    <row r="43" spans="1:6">
      <c r="A43" t="s">
        <v>11</v>
      </c>
      <c r="E43">
        <f>E6*100</f>
        <v>101325</v>
      </c>
      <c r="F43">
        <f>E43/E42</f>
        <v>10342.617145144002</v>
      </c>
    </row>
    <row r="44" spans="1:6">
      <c r="A44" t="s">
        <v>56</v>
      </c>
      <c r="E44">
        <f>E2*E42</f>
        <v>685.77903449999997</v>
      </c>
      <c r="F44">
        <f>E44/E42</f>
        <v>70</v>
      </c>
    </row>
    <row r="45" spans="1:6">
      <c r="A45" t="s">
        <v>57</v>
      </c>
      <c r="E45">
        <f>E43-E44</f>
        <v>100639.2209655</v>
      </c>
      <c r="F45">
        <f>E45/E42</f>
        <v>10272.617145144002</v>
      </c>
    </row>
    <row r="46" spans="1:6">
      <c r="A46" t="s">
        <v>39</v>
      </c>
      <c r="E46">
        <f>E3*E42</f>
        <v>2939.0530049999998</v>
      </c>
      <c r="F46">
        <f>E46/E42</f>
        <v>300</v>
      </c>
    </row>
    <row r="47" spans="1:6">
      <c r="A47" t="s">
        <v>23</v>
      </c>
      <c r="E47">
        <f>E45-E46</f>
        <v>97700.16796050001</v>
      </c>
      <c r="F47">
        <f>E47/E42</f>
        <v>9972.6171451440041</v>
      </c>
    </row>
    <row r="48" spans="1:6">
      <c r="A48" t="s">
        <v>29</v>
      </c>
      <c r="E48">
        <v>1.4020999999999999</v>
      </c>
    </row>
    <row r="49" spans="1:6">
      <c r="A49" t="s">
        <v>8</v>
      </c>
      <c r="E49">
        <v>1.22505</v>
      </c>
      <c r="F49">
        <f>1000000/2.54/2.54/2.54/12/12/12</f>
        <v>35.314666721488585</v>
      </c>
    </row>
    <row r="50" spans="1:6">
      <c r="A50" t="s">
        <v>7</v>
      </c>
      <c r="E50">
        <f>E49*E45/101325*288.16/E55</f>
        <v>1.2167587233534249</v>
      </c>
      <c r="F50" t="s">
        <v>30</v>
      </c>
    </row>
    <row r="51" spans="1:6">
      <c r="A51" t="s">
        <v>31</v>
      </c>
      <c r="E51">
        <f>E53/E50</f>
        <v>1.4756861532934193E-5</v>
      </c>
      <c r="F51">
        <f>E49/F49</f>
        <v>3.4689552917529606E-2</v>
      </c>
    </row>
    <row r="53" spans="1:6">
      <c r="A53" t="s">
        <v>25</v>
      </c>
      <c r="E53">
        <f>E56/SUM(E57:E61)/1000000</f>
        <v>1.7955539999516274E-5</v>
      </c>
    </row>
    <row r="54" spans="1:6">
      <c r="A54" t="s">
        <v>1</v>
      </c>
    </row>
    <row r="55" spans="1:6">
      <c r="A55" t="s">
        <v>48</v>
      </c>
      <c r="E55">
        <f>E5+273.16</f>
        <v>288.16000000000003</v>
      </c>
    </row>
    <row r="56" spans="1:6">
      <c r="A56" t="s">
        <v>33</v>
      </c>
      <c r="E56">
        <f>E55^0.5</f>
        <v>16.975276139138355</v>
      </c>
      <c r="F56" t="s">
        <v>13</v>
      </c>
    </row>
    <row r="57" spans="1:6">
      <c r="A57" t="s">
        <v>15</v>
      </c>
      <c r="E57">
        <f>F57</f>
        <v>0.55279500000000004</v>
      </c>
      <c r="F57">
        <v>0.55279500000000004</v>
      </c>
    </row>
    <row r="58" spans="1:6">
      <c r="A58" t="s">
        <v>16</v>
      </c>
      <c r="E58">
        <f>F58/E55</f>
        <v>0.97546224319822317</v>
      </c>
      <c r="F58">
        <v>281.08920000000001</v>
      </c>
    </row>
    <row r="59" spans="1:6">
      <c r="A59" t="s">
        <v>17</v>
      </c>
      <c r="E59">
        <f>F59/(E55^2)</f>
        <v>-1.6268016049137977</v>
      </c>
      <c r="F59">
        <v>-135083.4</v>
      </c>
    </row>
    <row r="60" spans="1:6">
      <c r="A60" t="s">
        <v>18</v>
      </c>
      <c r="E60">
        <f>F60/(E55^3)</f>
        <v>1.6446659766092535</v>
      </c>
      <c r="F60">
        <v>39353086</v>
      </c>
    </row>
    <row r="61" spans="1:6">
      <c r="A61" t="s">
        <v>19</v>
      </c>
      <c r="E61">
        <f>F61/(E55^4)</f>
        <v>-0.60071556530699599</v>
      </c>
      <c r="F61">
        <v>-4141938700</v>
      </c>
    </row>
  </sheetData>
  <mergeCells count="1">
    <mergeCell ref="F11:O11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Porter</dc:creator>
  <cp:lastModifiedBy>LenovoLaptop</cp:lastModifiedBy>
  <dcterms:created xsi:type="dcterms:W3CDTF">2018-11-05T19:11:21Z</dcterms:created>
  <dcterms:modified xsi:type="dcterms:W3CDTF">2018-11-05T21:55:25Z</dcterms:modified>
</cp:coreProperties>
</file>